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M:\01 VEŘEJNÉ ZAKÁZKY SMLOUVY OBJEDNÁVKY\Zakázky 2025\02 ZPŘ Sportovní hřiště ZŠ U Nemocnice\01 Zadávací dokumentace\04 Příloha č 3 Soupis prací\"/>
    </mc:Choice>
  </mc:AlternateContent>
  <xr:revisionPtr revIDLastSave="0" documentId="13_ncr:1_{BF679D28-5B69-40BA-AAA7-947764869423}" xr6:coauthVersionLast="47" xr6:coauthVersionMax="47" xr10:uidLastSave="{00000000-0000-0000-0000-000000000000}"/>
  <bookViews>
    <workbookView xWindow="4680" yWindow="2070" windowWidth="24915" windowHeight="19530" xr2:uid="{00000000-000D-0000-FFFF-FFFF00000000}"/>
  </bookViews>
  <sheets>
    <sheet name="Stavební rozpočet" sheetId="1" r:id="rId1"/>
    <sheet name="Krycí list rozpočtu" sheetId="2" r:id="rId2"/>
    <sheet name="VORN" sheetId="3" state="hidden" r:id="rId3"/>
  </sheets>
  <definedNames>
    <definedName name="vorn_sum">VORN!$I$45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3" l="1"/>
  <c r="I44" i="3" s="1"/>
  <c r="F43" i="3"/>
  <c r="I43" i="3" s="1"/>
  <c r="F42" i="3"/>
  <c r="I42" i="3" s="1"/>
  <c r="F41" i="3"/>
  <c r="I41" i="3" s="1"/>
  <c r="I40" i="3"/>
  <c r="F40" i="3"/>
  <c r="F39" i="3"/>
  <c r="I39" i="3" s="1"/>
  <c r="F38" i="3"/>
  <c r="I38" i="3" s="1"/>
  <c r="F37" i="3"/>
  <c r="I37" i="3" s="1"/>
  <c r="F35" i="3"/>
  <c r="I35" i="3" s="1"/>
  <c r="I26" i="3"/>
  <c r="I25" i="3"/>
  <c r="I18" i="2" s="1"/>
  <c r="I24" i="3"/>
  <c r="I23" i="3"/>
  <c r="I16" i="2" s="1"/>
  <c r="I22" i="3"/>
  <c r="I21" i="3"/>
  <c r="I27" i="3" s="1"/>
  <c r="I17" i="3"/>
  <c r="F16" i="2" s="1"/>
  <c r="I16" i="3"/>
  <c r="I15" i="3"/>
  <c r="I10" i="3"/>
  <c r="F10" i="3"/>
  <c r="C10" i="3"/>
  <c r="F8" i="3"/>
  <c r="C8" i="3"/>
  <c r="F6" i="3"/>
  <c r="C6" i="3"/>
  <c r="F4" i="3"/>
  <c r="C4" i="3"/>
  <c r="F2" i="3"/>
  <c r="C2" i="3"/>
  <c r="I19" i="2"/>
  <c r="I17" i="2"/>
  <c r="I15" i="2"/>
  <c r="F15" i="2"/>
  <c r="I14" i="2"/>
  <c r="I22" i="2" s="1"/>
  <c r="I10" i="2"/>
  <c r="F10" i="2"/>
  <c r="C10" i="2"/>
  <c r="F8" i="2"/>
  <c r="C8" i="2"/>
  <c r="F6" i="2"/>
  <c r="C6" i="2"/>
  <c r="F4" i="2"/>
  <c r="C4" i="2"/>
  <c r="F2" i="2"/>
  <c r="C2" i="2"/>
  <c r="BO226" i="1"/>
  <c r="BJ226" i="1"/>
  <c r="BF226" i="1"/>
  <c r="BD226" i="1"/>
  <c r="AW226" i="1"/>
  <c r="AP226" i="1"/>
  <c r="I226" i="1" s="1"/>
  <c r="AO226" i="1"/>
  <c r="BH226" i="1" s="1"/>
  <c r="AL226" i="1"/>
  <c r="AK226" i="1"/>
  <c r="AJ226" i="1"/>
  <c r="AH226" i="1"/>
  <c r="AG226" i="1"/>
  <c r="AF226" i="1"/>
  <c r="AE226" i="1"/>
  <c r="AD226" i="1"/>
  <c r="AC226" i="1"/>
  <c r="AB226" i="1"/>
  <c r="Z226" i="1"/>
  <c r="J226" i="1"/>
  <c r="H226" i="1"/>
  <c r="AU225" i="1"/>
  <c r="AT225" i="1"/>
  <c r="AS225" i="1"/>
  <c r="J225" i="1"/>
  <c r="I225" i="1"/>
  <c r="H225" i="1"/>
  <c r="BN223" i="1"/>
  <c r="F36" i="3" s="1"/>
  <c r="I36" i="3" s="1"/>
  <c r="BJ223" i="1"/>
  <c r="BF223" i="1"/>
  <c r="BD223" i="1"/>
  <c r="AW223" i="1"/>
  <c r="AP223" i="1"/>
  <c r="AO223" i="1"/>
  <c r="BH223" i="1" s="1"/>
  <c r="AL223" i="1"/>
  <c r="AU222" i="1" s="1"/>
  <c r="AK223" i="1"/>
  <c r="AT222" i="1" s="1"/>
  <c r="AJ223" i="1"/>
  <c r="AS222" i="1" s="1"/>
  <c r="AH223" i="1"/>
  <c r="AG223" i="1"/>
  <c r="AF223" i="1"/>
  <c r="AE223" i="1"/>
  <c r="AD223" i="1"/>
  <c r="AC223" i="1"/>
  <c r="AB223" i="1"/>
  <c r="Z223" i="1"/>
  <c r="J223" i="1"/>
  <c r="J222" i="1" s="1"/>
  <c r="I223" i="1"/>
  <c r="I222" i="1" s="1"/>
  <c r="H223" i="1"/>
  <c r="H222" i="1" s="1"/>
  <c r="BM219" i="1"/>
  <c r="BJ219" i="1"/>
  <c r="BI219" i="1"/>
  <c r="BH219" i="1"/>
  <c r="BF219" i="1"/>
  <c r="BD219" i="1"/>
  <c r="AW219" i="1"/>
  <c r="AP219" i="1"/>
  <c r="AX219" i="1" s="1"/>
  <c r="BC219" i="1" s="1"/>
  <c r="AO219" i="1"/>
  <c r="AL219" i="1"/>
  <c r="AK219" i="1"/>
  <c r="AT218" i="1" s="1"/>
  <c r="AJ219" i="1"/>
  <c r="AH219" i="1"/>
  <c r="AG219" i="1"/>
  <c r="AF219" i="1"/>
  <c r="AE219" i="1"/>
  <c r="AD219" i="1"/>
  <c r="AC219" i="1"/>
  <c r="AB219" i="1"/>
  <c r="Z219" i="1"/>
  <c r="J219" i="1"/>
  <c r="I219" i="1"/>
  <c r="I218" i="1" s="1"/>
  <c r="H219" i="1"/>
  <c r="H218" i="1" s="1"/>
  <c r="AU218" i="1"/>
  <c r="AS218" i="1"/>
  <c r="J218" i="1"/>
  <c r="J217" i="1" s="1"/>
  <c r="BJ215" i="1"/>
  <c r="BI215" i="1"/>
  <c r="AC215" i="1" s="1"/>
  <c r="BH215" i="1"/>
  <c r="AB215" i="1" s="1"/>
  <c r="BF215" i="1"/>
  <c r="BD215" i="1"/>
  <c r="AX215" i="1"/>
  <c r="BC215" i="1" s="1"/>
  <c r="AW215" i="1"/>
  <c r="AV215" i="1" s="1"/>
  <c r="AP215" i="1"/>
  <c r="AO215" i="1"/>
  <c r="AL215" i="1"/>
  <c r="AK215" i="1"/>
  <c r="AJ215" i="1"/>
  <c r="AH215" i="1"/>
  <c r="AG215" i="1"/>
  <c r="AF215" i="1"/>
  <c r="AE215" i="1"/>
  <c r="AD215" i="1"/>
  <c r="Z215" i="1"/>
  <c r="J215" i="1"/>
  <c r="I215" i="1"/>
  <c r="H215" i="1"/>
  <c r="BJ213" i="1"/>
  <c r="BI213" i="1"/>
  <c r="AG213" i="1" s="1"/>
  <c r="BH213" i="1"/>
  <c r="BF213" i="1"/>
  <c r="BD213" i="1"/>
  <c r="AX213" i="1"/>
  <c r="AP213" i="1"/>
  <c r="AO213" i="1"/>
  <c r="AW213" i="1" s="1"/>
  <c r="AV213" i="1" s="1"/>
  <c r="AK213" i="1"/>
  <c r="AJ213" i="1"/>
  <c r="AH213" i="1"/>
  <c r="AF213" i="1"/>
  <c r="AE213" i="1"/>
  <c r="AD213" i="1"/>
  <c r="AC213" i="1"/>
  <c r="AB213" i="1"/>
  <c r="Z213" i="1"/>
  <c r="J213" i="1"/>
  <c r="AL213" i="1" s="1"/>
  <c r="I213" i="1"/>
  <c r="H213" i="1"/>
  <c r="BJ211" i="1"/>
  <c r="BI211" i="1"/>
  <c r="BH211" i="1"/>
  <c r="BF211" i="1"/>
  <c r="BD211" i="1"/>
  <c r="AW211" i="1"/>
  <c r="AP211" i="1"/>
  <c r="AX211" i="1" s="1"/>
  <c r="BC211" i="1" s="1"/>
  <c r="AO211" i="1"/>
  <c r="AL211" i="1"/>
  <c r="AK211" i="1"/>
  <c r="AJ211" i="1"/>
  <c r="AH211" i="1"/>
  <c r="AG211" i="1"/>
  <c r="AF211" i="1"/>
  <c r="AE211" i="1"/>
  <c r="AD211" i="1"/>
  <c r="AC211" i="1"/>
  <c r="AB211" i="1"/>
  <c r="Z211" i="1"/>
  <c r="J211" i="1"/>
  <c r="I211" i="1"/>
  <c r="H211" i="1"/>
  <c r="BJ209" i="1"/>
  <c r="BI209" i="1"/>
  <c r="BH209" i="1"/>
  <c r="AF209" i="1" s="1"/>
  <c r="BF209" i="1"/>
  <c r="BD209" i="1"/>
  <c r="AX209" i="1"/>
  <c r="AP209" i="1"/>
  <c r="AO209" i="1"/>
  <c r="AW209" i="1" s="1"/>
  <c r="AL209" i="1"/>
  <c r="AK209" i="1"/>
  <c r="AJ209" i="1"/>
  <c r="AH209" i="1"/>
  <c r="AG209" i="1"/>
  <c r="AE209" i="1"/>
  <c r="AD209" i="1"/>
  <c r="AC209" i="1"/>
  <c r="AB209" i="1"/>
  <c r="Z209" i="1"/>
  <c r="J209" i="1"/>
  <c r="I209" i="1"/>
  <c r="H209" i="1"/>
  <c r="BJ207" i="1"/>
  <c r="BI207" i="1"/>
  <c r="AG207" i="1" s="1"/>
  <c r="BF207" i="1"/>
  <c r="BD207" i="1"/>
  <c r="AP207" i="1"/>
  <c r="AX207" i="1" s="1"/>
  <c r="AO207" i="1"/>
  <c r="AL207" i="1"/>
  <c r="AU206" i="1" s="1"/>
  <c r="AK207" i="1"/>
  <c r="AJ207" i="1"/>
  <c r="AS206" i="1" s="1"/>
  <c r="AH207" i="1"/>
  <c r="AE207" i="1"/>
  <c r="AD207" i="1"/>
  <c r="AC207" i="1"/>
  <c r="AB207" i="1"/>
  <c r="Z207" i="1"/>
  <c r="J207" i="1"/>
  <c r="J206" i="1" s="1"/>
  <c r="I207" i="1"/>
  <c r="AT206" i="1"/>
  <c r="BJ204" i="1"/>
  <c r="BI204" i="1"/>
  <c r="BH204" i="1"/>
  <c r="BF204" i="1"/>
  <c r="BD204" i="1"/>
  <c r="AX204" i="1"/>
  <c r="AW204" i="1"/>
  <c r="AP204" i="1"/>
  <c r="AO204" i="1"/>
  <c r="AK204" i="1"/>
  <c r="AJ204" i="1"/>
  <c r="AH204" i="1"/>
  <c r="AG204" i="1"/>
  <c r="AF204" i="1"/>
  <c r="AE204" i="1"/>
  <c r="AD204" i="1"/>
  <c r="AC204" i="1"/>
  <c r="AB204" i="1"/>
  <c r="Z204" i="1"/>
  <c r="J204" i="1"/>
  <c r="AL204" i="1" s="1"/>
  <c r="I204" i="1"/>
  <c r="H204" i="1"/>
  <c r="BJ202" i="1"/>
  <c r="BI202" i="1"/>
  <c r="BH202" i="1"/>
  <c r="BF202" i="1"/>
  <c r="BD202" i="1"/>
  <c r="BC202" i="1"/>
  <c r="AX202" i="1"/>
  <c r="AW202" i="1"/>
  <c r="AP202" i="1"/>
  <c r="AO202" i="1"/>
  <c r="AL202" i="1"/>
  <c r="AK202" i="1"/>
  <c r="AJ202" i="1"/>
  <c r="AH202" i="1"/>
  <c r="AG202" i="1"/>
  <c r="AF202" i="1"/>
  <c r="AE202" i="1"/>
  <c r="AD202" i="1"/>
  <c r="AC202" i="1"/>
  <c r="AB202" i="1"/>
  <c r="Z202" i="1"/>
  <c r="J202" i="1"/>
  <c r="I202" i="1"/>
  <c r="H202" i="1"/>
  <c r="BJ200" i="1"/>
  <c r="BI200" i="1"/>
  <c r="AC200" i="1" s="1"/>
  <c r="BH200" i="1"/>
  <c r="AB200" i="1" s="1"/>
  <c r="BF200" i="1"/>
  <c r="BD200" i="1"/>
  <c r="BC200" i="1"/>
  <c r="AX200" i="1"/>
  <c r="AP200" i="1"/>
  <c r="AO200" i="1"/>
  <c r="AW200" i="1" s="1"/>
  <c r="AV200" i="1" s="1"/>
  <c r="AK200" i="1"/>
  <c r="AJ200" i="1"/>
  <c r="AH200" i="1"/>
  <c r="AG200" i="1"/>
  <c r="AF200" i="1"/>
  <c r="AE200" i="1"/>
  <c r="AD200" i="1"/>
  <c r="Z200" i="1"/>
  <c r="J200" i="1"/>
  <c r="AL200" i="1" s="1"/>
  <c r="I200" i="1"/>
  <c r="H200" i="1"/>
  <c r="BJ198" i="1"/>
  <c r="BI198" i="1"/>
  <c r="AC198" i="1" s="1"/>
  <c r="BH198" i="1"/>
  <c r="AB198" i="1" s="1"/>
  <c r="BF198" i="1"/>
  <c r="BD198" i="1"/>
  <c r="AW198" i="1"/>
  <c r="AP198" i="1"/>
  <c r="AX198" i="1" s="1"/>
  <c r="BC198" i="1" s="1"/>
  <c r="AO198" i="1"/>
  <c r="AL198" i="1"/>
  <c r="AK198" i="1"/>
  <c r="AJ198" i="1"/>
  <c r="AH198" i="1"/>
  <c r="AG198" i="1"/>
  <c r="AF198" i="1"/>
  <c r="AE198" i="1"/>
  <c r="AD198" i="1"/>
  <c r="Z198" i="1"/>
  <c r="J198" i="1"/>
  <c r="I198" i="1"/>
  <c r="H198" i="1"/>
  <c r="BJ196" i="1"/>
  <c r="BI196" i="1"/>
  <c r="AC196" i="1" s="1"/>
  <c r="BH196" i="1"/>
  <c r="AB196" i="1" s="1"/>
  <c r="BF196" i="1"/>
  <c r="BD196" i="1"/>
  <c r="AX196" i="1"/>
  <c r="AP196" i="1"/>
  <c r="AO196" i="1"/>
  <c r="AW196" i="1" s="1"/>
  <c r="AL196" i="1"/>
  <c r="AK196" i="1"/>
  <c r="AJ196" i="1"/>
  <c r="AH196" i="1"/>
  <c r="AG196" i="1"/>
  <c r="AF196" i="1"/>
  <c r="AE196" i="1"/>
  <c r="AD196" i="1"/>
  <c r="Z196" i="1"/>
  <c r="J196" i="1"/>
  <c r="I196" i="1"/>
  <c r="H196" i="1"/>
  <c r="BJ194" i="1"/>
  <c r="BI194" i="1"/>
  <c r="AG194" i="1" s="1"/>
  <c r="BH194" i="1"/>
  <c r="AF194" i="1" s="1"/>
  <c r="BF194" i="1"/>
  <c r="BD194" i="1"/>
  <c r="AP194" i="1"/>
  <c r="AX194" i="1" s="1"/>
  <c r="AO194" i="1"/>
  <c r="AW194" i="1" s="1"/>
  <c r="AK194" i="1"/>
  <c r="AJ194" i="1"/>
  <c r="AH194" i="1"/>
  <c r="AE194" i="1"/>
  <c r="AD194" i="1"/>
  <c r="AC194" i="1"/>
  <c r="AB194" i="1"/>
  <c r="Z194" i="1"/>
  <c r="J194" i="1"/>
  <c r="AL194" i="1" s="1"/>
  <c r="I194" i="1"/>
  <c r="H194" i="1"/>
  <c r="BJ192" i="1"/>
  <c r="BF192" i="1"/>
  <c r="BD192" i="1"/>
  <c r="AP192" i="1"/>
  <c r="AX192" i="1" s="1"/>
  <c r="AO192" i="1"/>
  <c r="AL192" i="1"/>
  <c r="AK192" i="1"/>
  <c r="AJ192" i="1"/>
  <c r="AH192" i="1"/>
  <c r="AE192" i="1"/>
  <c r="AD192" i="1"/>
  <c r="AC192" i="1"/>
  <c r="AB192" i="1"/>
  <c r="Z192" i="1"/>
  <c r="J192" i="1"/>
  <c r="H192" i="1"/>
  <c r="BJ189" i="1"/>
  <c r="BF189" i="1"/>
  <c r="BD189" i="1"/>
  <c r="AP189" i="1"/>
  <c r="I189" i="1" s="1"/>
  <c r="AO189" i="1"/>
  <c r="AK189" i="1"/>
  <c r="AJ189" i="1"/>
  <c r="AH189" i="1"/>
  <c r="AE189" i="1"/>
  <c r="AD189" i="1"/>
  <c r="AC189" i="1"/>
  <c r="AB189" i="1"/>
  <c r="Z189" i="1"/>
  <c r="J189" i="1"/>
  <c r="AL189" i="1" s="1"/>
  <c r="H189" i="1"/>
  <c r="BJ187" i="1"/>
  <c r="BF187" i="1"/>
  <c r="BD187" i="1"/>
  <c r="AP187" i="1"/>
  <c r="AO187" i="1"/>
  <c r="AL187" i="1"/>
  <c r="AK187" i="1"/>
  <c r="AJ187" i="1"/>
  <c r="AH187" i="1"/>
  <c r="AE187" i="1"/>
  <c r="AD187" i="1"/>
  <c r="AC187" i="1"/>
  <c r="AB187" i="1"/>
  <c r="Z187" i="1"/>
  <c r="J187" i="1"/>
  <c r="I187" i="1"/>
  <c r="BJ185" i="1"/>
  <c r="BF185" i="1"/>
  <c r="BD185" i="1"/>
  <c r="AX185" i="1"/>
  <c r="AW185" i="1"/>
  <c r="BC185" i="1" s="1"/>
  <c r="AP185" i="1"/>
  <c r="AO185" i="1"/>
  <c r="AK185" i="1"/>
  <c r="AJ185" i="1"/>
  <c r="AH185" i="1"/>
  <c r="AE185" i="1"/>
  <c r="AD185" i="1"/>
  <c r="AC185" i="1"/>
  <c r="AB185" i="1"/>
  <c r="Z185" i="1"/>
  <c r="J185" i="1"/>
  <c r="AL185" i="1" s="1"/>
  <c r="BJ183" i="1"/>
  <c r="BF183" i="1"/>
  <c r="BD183" i="1"/>
  <c r="AW183" i="1"/>
  <c r="AP183" i="1"/>
  <c r="AO183" i="1"/>
  <c r="H183" i="1" s="1"/>
  <c r="AK183" i="1"/>
  <c r="AJ183" i="1"/>
  <c r="AH183" i="1"/>
  <c r="AE183" i="1"/>
  <c r="AD183" i="1"/>
  <c r="AC183" i="1"/>
  <c r="AB183" i="1"/>
  <c r="Z183" i="1"/>
  <c r="J183" i="1"/>
  <c r="AL183" i="1" s="1"/>
  <c r="BJ181" i="1"/>
  <c r="BH181" i="1"/>
  <c r="BF181" i="1"/>
  <c r="BD181" i="1"/>
  <c r="AX181" i="1"/>
  <c r="BC181" i="1" s="1"/>
  <c r="AW181" i="1"/>
  <c r="AV181" i="1" s="1"/>
  <c r="AP181" i="1"/>
  <c r="I181" i="1" s="1"/>
  <c r="AO181" i="1"/>
  <c r="AL181" i="1"/>
  <c r="AK181" i="1"/>
  <c r="AJ181" i="1"/>
  <c r="AH181" i="1"/>
  <c r="AF181" i="1"/>
  <c r="AE181" i="1"/>
  <c r="AD181" i="1"/>
  <c r="AC181" i="1"/>
  <c r="AB181" i="1"/>
  <c r="Z181" i="1"/>
  <c r="J181" i="1"/>
  <c r="H181" i="1"/>
  <c r="BJ179" i="1"/>
  <c r="BI179" i="1"/>
  <c r="BH179" i="1"/>
  <c r="BF179" i="1"/>
  <c r="BD179" i="1"/>
  <c r="AX179" i="1"/>
  <c r="AW179" i="1"/>
  <c r="AV179" i="1" s="1"/>
  <c r="AP179" i="1"/>
  <c r="AO179" i="1"/>
  <c r="AK179" i="1"/>
  <c r="AJ179" i="1"/>
  <c r="AH179" i="1"/>
  <c r="AG179" i="1"/>
  <c r="AF179" i="1"/>
  <c r="AE179" i="1"/>
  <c r="AD179" i="1"/>
  <c r="AC179" i="1"/>
  <c r="AB179" i="1"/>
  <c r="Z179" i="1"/>
  <c r="J179" i="1"/>
  <c r="AL179" i="1" s="1"/>
  <c r="I179" i="1"/>
  <c r="H179" i="1"/>
  <c r="BJ177" i="1"/>
  <c r="BI177" i="1"/>
  <c r="BH177" i="1"/>
  <c r="BF177" i="1"/>
  <c r="BD177" i="1"/>
  <c r="AX177" i="1"/>
  <c r="BC177" i="1" s="1"/>
  <c r="AW177" i="1"/>
  <c r="AP177" i="1"/>
  <c r="AO177" i="1"/>
  <c r="AL177" i="1"/>
  <c r="AK177" i="1"/>
  <c r="AJ177" i="1"/>
  <c r="AH177" i="1"/>
  <c r="AG177" i="1"/>
  <c r="AF177" i="1"/>
  <c r="AE177" i="1"/>
  <c r="AD177" i="1"/>
  <c r="AC177" i="1"/>
  <c r="AB177" i="1"/>
  <c r="Z177" i="1"/>
  <c r="J177" i="1"/>
  <c r="I177" i="1"/>
  <c r="H177" i="1"/>
  <c r="BJ175" i="1"/>
  <c r="BI175" i="1"/>
  <c r="AG175" i="1" s="1"/>
  <c r="BH175" i="1"/>
  <c r="AF175" i="1" s="1"/>
  <c r="BF175" i="1"/>
  <c r="BD175" i="1"/>
  <c r="AX175" i="1"/>
  <c r="AP175" i="1"/>
  <c r="AO175" i="1"/>
  <c r="AW175" i="1" s="1"/>
  <c r="AV175" i="1" s="1"/>
  <c r="AK175" i="1"/>
  <c r="AJ175" i="1"/>
  <c r="AH175" i="1"/>
  <c r="AE175" i="1"/>
  <c r="AD175" i="1"/>
  <c r="AC175" i="1"/>
  <c r="AB175" i="1"/>
  <c r="Z175" i="1"/>
  <c r="J175" i="1"/>
  <c r="AL175" i="1" s="1"/>
  <c r="I175" i="1"/>
  <c r="H175" i="1"/>
  <c r="BJ173" i="1"/>
  <c r="BI173" i="1"/>
  <c r="AG173" i="1" s="1"/>
  <c r="BH173" i="1"/>
  <c r="AF173" i="1" s="1"/>
  <c r="BF173" i="1"/>
  <c r="BD173" i="1"/>
  <c r="AW173" i="1"/>
  <c r="AP173" i="1"/>
  <c r="AX173" i="1" s="1"/>
  <c r="BC173" i="1" s="1"/>
  <c r="AO173" i="1"/>
  <c r="AL173" i="1"/>
  <c r="AK173" i="1"/>
  <c r="AT172" i="1" s="1"/>
  <c r="AJ173" i="1"/>
  <c r="AS172" i="1" s="1"/>
  <c r="AH173" i="1"/>
  <c r="AE173" i="1"/>
  <c r="AD173" i="1"/>
  <c r="AC173" i="1"/>
  <c r="AB173" i="1"/>
  <c r="Z173" i="1"/>
  <c r="J173" i="1"/>
  <c r="I173" i="1"/>
  <c r="H173" i="1"/>
  <c r="BJ170" i="1"/>
  <c r="BF170" i="1"/>
  <c r="BD170" i="1"/>
  <c r="AW170" i="1"/>
  <c r="AP170" i="1"/>
  <c r="AO170" i="1"/>
  <c r="H170" i="1" s="1"/>
  <c r="H160" i="1" s="1"/>
  <c r="AK170" i="1"/>
  <c r="AJ170" i="1"/>
  <c r="AH170" i="1"/>
  <c r="AG170" i="1"/>
  <c r="AF170" i="1"/>
  <c r="AE170" i="1"/>
  <c r="AD170" i="1"/>
  <c r="Z170" i="1"/>
  <c r="J170" i="1"/>
  <c r="AL170" i="1" s="1"/>
  <c r="BJ167" i="1"/>
  <c r="BF167" i="1"/>
  <c r="BD167" i="1"/>
  <c r="AX167" i="1"/>
  <c r="AW167" i="1"/>
  <c r="BC167" i="1" s="1"/>
  <c r="AV167" i="1"/>
  <c r="AP167" i="1"/>
  <c r="I167" i="1" s="1"/>
  <c r="AO167" i="1"/>
  <c r="BH167" i="1" s="1"/>
  <c r="AB167" i="1" s="1"/>
  <c r="AL167" i="1"/>
  <c r="AK167" i="1"/>
  <c r="AJ167" i="1"/>
  <c r="AH167" i="1"/>
  <c r="AG167" i="1"/>
  <c r="AF167" i="1"/>
  <c r="AE167" i="1"/>
  <c r="AD167" i="1"/>
  <c r="Z167" i="1"/>
  <c r="J167" i="1"/>
  <c r="H167" i="1"/>
  <c r="BJ164" i="1"/>
  <c r="BI164" i="1"/>
  <c r="BH164" i="1"/>
  <c r="AB164" i="1" s="1"/>
  <c r="BF164" i="1"/>
  <c r="BD164" i="1"/>
  <c r="AX164" i="1"/>
  <c r="AW164" i="1"/>
  <c r="AV164" i="1" s="1"/>
  <c r="AP164" i="1"/>
  <c r="AO164" i="1"/>
  <c r="AK164" i="1"/>
  <c r="AJ164" i="1"/>
  <c r="AH164" i="1"/>
  <c r="AG164" i="1"/>
  <c r="AF164" i="1"/>
  <c r="AE164" i="1"/>
  <c r="AD164" i="1"/>
  <c r="AC164" i="1"/>
  <c r="Z164" i="1"/>
  <c r="J164" i="1"/>
  <c r="AL164" i="1" s="1"/>
  <c r="I164" i="1"/>
  <c r="H164" i="1"/>
  <c r="BJ161" i="1"/>
  <c r="BI161" i="1"/>
  <c r="AC161" i="1" s="1"/>
  <c r="BH161" i="1"/>
  <c r="AB161" i="1" s="1"/>
  <c r="BF161" i="1"/>
  <c r="BD161" i="1"/>
  <c r="BC161" i="1"/>
  <c r="AX161" i="1"/>
  <c r="AW161" i="1"/>
  <c r="AV161" i="1" s="1"/>
  <c r="AP161" i="1"/>
  <c r="AO161" i="1"/>
  <c r="AL161" i="1"/>
  <c r="AK161" i="1"/>
  <c r="AJ161" i="1"/>
  <c r="AH161" i="1"/>
  <c r="AG161" i="1"/>
  <c r="AF161" i="1"/>
  <c r="AE161" i="1"/>
  <c r="AD161" i="1"/>
  <c r="Z161" i="1"/>
  <c r="J161" i="1"/>
  <c r="I161" i="1"/>
  <c r="H161" i="1"/>
  <c r="AT160" i="1"/>
  <c r="AS160" i="1"/>
  <c r="J160" i="1"/>
  <c r="BJ157" i="1"/>
  <c r="BF157" i="1"/>
  <c r="BD157" i="1"/>
  <c r="AP157" i="1"/>
  <c r="AO157" i="1"/>
  <c r="AL157" i="1"/>
  <c r="AK157" i="1"/>
  <c r="AJ157" i="1"/>
  <c r="AH157" i="1"/>
  <c r="AG157" i="1"/>
  <c r="AF157" i="1"/>
  <c r="AE157" i="1"/>
  <c r="AD157" i="1"/>
  <c r="Z157" i="1"/>
  <c r="J157" i="1"/>
  <c r="I157" i="1"/>
  <c r="BJ155" i="1"/>
  <c r="BF155" i="1"/>
  <c r="BD155" i="1"/>
  <c r="AX155" i="1"/>
  <c r="AW155" i="1"/>
  <c r="AV155" i="1"/>
  <c r="AP155" i="1"/>
  <c r="AO155" i="1"/>
  <c r="AK155" i="1"/>
  <c r="AJ155" i="1"/>
  <c r="AH155" i="1"/>
  <c r="AG155" i="1"/>
  <c r="AF155" i="1"/>
  <c r="AE155" i="1"/>
  <c r="AD155" i="1"/>
  <c r="AC155" i="1"/>
  <c r="AB155" i="1"/>
  <c r="Z155" i="1"/>
  <c r="J155" i="1"/>
  <c r="AL155" i="1" s="1"/>
  <c r="BJ153" i="1"/>
  <c r="BF153" i="1"/>
  <c r="BD153" i="1"/>
  <c r="AW153" i="1"/>
  <c r="AP153" i="1"/>
  <c r="AO153" i="1"/>
  <c r="H153" i="1" s="1"/>
  <c r="AK153" i="1"/>
  <c r="AT148" i="1" s="1"/>
  <c r="AJ153" i="1"/>
  <c r="AH153" i="1"/>
  <c r="AG153" i="1"/>
  <c r="AF153" i="1"/>
  <c r="AE153" i="1"/>
  <c r="AD153" i="1"/>
  <c r="Z153" i="1"/>
  <c r="J153" i="1"/>
  <c r="AL153" i="1" s="1"/>
  <c r="AU148" i="1" s="1"/>
  <c r="BJ149" i="1"/>
  <c r="BH149" i="1"/>
  <c r="BF149" i="1"/>
  <c r="BD149" i="1"/>
  <c r="AX149" i="1"/>
  <c r="AW149" i="1"/>
  <c r="BC149" i="1" s="1"/>
  <c r="AV149" i="1"/>
  <c r="AP149" i="1"/>
  <c r="I149" i="1" s="1"/>
  <c r="AO149" i="1"/>
  <c r="AL149" i="1"/>
  <c r="AK149" i="1"/>
  <c r="AJ149" i="1"/>
  <c r="AH149" i="1"/>
  <c r="AG149" i="1"/>
  <c r="AF149" i="1"/>
  <c r="AE149" i="1"/>
  <c r="AD149" i="1"/>
  <c r="AB149" i="1"/>
  <c r="Z149" i="1"/>
  <c r="J149" i="1"/>
  <c r="H149" i="1"/>
  <c r="AS148" i="1"/>
  <c r="J148" i="1"/>
  <c r="BJ145" i="1"/>
  <c r="BF145" i="1"/>
  <c r="BD145" i="1"/>
  <c r="AP145" i="1"/>
  <c r="AX145" i="1" s="1"/>
  <c r="AO145" i="1"/>
  <c r="AL145" i="1"/>
  <c r="AK145" i="1"/>
  <c r="AJ145" i="1"/>
  <c r="AH145" i="1"/>
  <c r="AG145" i="1"/>
  <c r="AF145" i="1"/>
  <c r="AE145" i="1"/>
  <c r="AD145" i="1"/>
  <c r="AC145" i="1"/>
  <c r="AB145" i="1"/>
  <c r="Z145" i="1"/>
  <c r="J145" i="1"/>
  <c r="I145" i="1"/>
  <c r="H145" i="1"/>
  <c r="BJ142" i="1"/>
  <c r="BF142" i="1"/>
  <c r="BD142" i="1"/>
  <c r="AP142" i="1"/>
  <c r="AO142" i="1"/>
  <c r="AK142" i="1"/>
  <c r="AJ142" i="1"/>
  <c r="AH142" i="1"/>
  <c r="AG142" i="1"/>
  <c r="AF142" i="1"/>
  <c r="AE142" i="1"/>
  <c r="AD142" i="1"/>
  <c r="Z142" i="1"/>
  <c r="J142" i="1"/>
  <c r="AL142" i="1" s="1"/>
  <c r="H142" i="1"/>
  <c r="BJ139" i="1"/>
  <c r="BF139" i="1"/>
  <c r="BD139" i="1"/>
  <c r="AP139" i="1"/>
  <c r="AO139" i="1"/>
  <c r="AW139" i="1" s="1"/>
  <c r="AK139" i="1"/>
  <c r="AT138" i="1" s="1"/>
  <c r="AJ139" i="1"/>
  <c r="AH139" i="1"/>
  <c r="AG139" i="1"/>
  <c r="AF139" i="1"/>
  <c r="AE139" i="1"/>
  <c r="AD139" i="1"/>
  <c r="Z139" i="1"/>
  <c r="J139" i="1"/>
  <c r="J138" i="1" s="1"/>
  <c r="I139" i="1"/>
  <c r="BJ136" i="1"/>
  <c r="BI136" i="1"/>
  <c r="AC136" i="1" s="1"/>
  <c r="BH136" i="1"/>
  <c r="AB136" i="1" s="1"/>
  <c r="BF136" i="1"/>
  <c r="BD136" i="1"/>
  <c r="AW136" i="1"/>
  <c r="AP136" i="1"/>
  <c r="AX136" i="1" s="1"/>
  <c r="BC136" i="1" s="1"/>
  <c r="AO136" i="1"/>
  <c r="AL136" i="1"/>
  <c r="AK136" i="1"/>
  <c r="AT135" i="1" s="1"/>
  <c r="AJ136" i="1"/>
  <c r="AH136" i="1"/>
  <c r="AG136" i="1"/>
  <c r="AF136" i="1"/>
  <c r="AE136" i="1"/>
  <c r="AD136" i="1"/>
  <c r="Z136" i="1"/>
  <c r="J136" i="1"/>
  <c r="I136" i="1"/>
  <c r="I135" i="1" s="1"/>
  <c r="H136" i="1"/>
  <c r="H135" i="1" s="1"/>
  <c r="AU135" i="1"/>
  <c r="AS135" i="1"/>
  <c r="J135" i="1"/>
  <c r="BJ133" i="1"/>
  <c r="BF133" i="1"/>
  <c r="BD133" i="1"/>
  <c r="AW133" i="1"/>
  <c r="AP133" i="1"/>
  <c r="AO133" i="1"/>
  <c r="H133" i="1" s="1"/>
  <c r="AK133" i="1"/>
  <c r="AJ133" i="1"/>
  <c r="AH133" i="1"/>
  <c r="AG133" i="1"/>
  <c r="AF133" i="1"/>
  <c r="AC133" i="1"/>
  <c r="AB133" i="1"/>
  <c r="Z133" i="1"/>
  <c r="J133" i="1"/>
  <c r="AL133" i="1" s="1"/>
  <c r="AU132" i="1" s="1"/>
  <c r="AT132" i="1"/>
  <c r="AS132" i="1"/>
  <c r="J132" i="1"/>
  <c r="H132" i="1"/>
  <c r="BJ130" i="1"/>
  <c r="Z130" i="1" s="1"/>
  <c r="BI130" i="1"/>
  <c r="BF130" i="1"/>
  <c r="BD130" i="1"/>
  <c r="AP130" i="1"/>
  <c r="AX130" i="1" s="1"/>
  <c r="AO130" i="1"/>
  <c r="AW130" i="1" s="1"/>
  <c r="AL130" i="1"/>
  <c r="AK130" i="1"/>
  <c r="AJ130" i="1"/>
  <c r="AH130" i="1"/>
  <c r="AG130" i="1"/>
  <c r="AF130" i="1"/>
  <c r="AE130" i="1"/>
  <c r="AD130" i="1"/>
  <c r="AC130" i="1"/>
  <c r="AB130" i="1"/>
  <c r="J130" i="1"/>
  <c r="I130" i="1"/>
  <c r="H130" i="1"/>
  <c r="BJ128" i="1"/>
  <c r="BI128" i="1"/>
  <c r="AC128" i="1" s="1"/>
  <c r="BF128" i="1"/>
  <c r="BD128" i="1"/>
  <c r="AP128" i="1"/>
  <c r="AX128" i="1" s="1"/>
  <c r="AO128" i="1"/>
  <c r="AK128" i="1"/>
  <c r="AJ128" i="1"/>
  <c r="AH128" i="1"/>
  <c r="AG128" i="1"/>
  <c r="AF128" i="1"/>
  <c r="AE128" i="1"/>
  <c r="AD128" i="1"/>
  <c r="Z128" i="1"/>
  <c r="J128" i="1"/>
  <c r="AL128" i="1" s="1"/>
  <c r="I128" i="1"/>
  <c r="H128" i="1"/>
  <c r="BJ126" i="1"/>
  <c r="BF126" i="1"/>
  <c r="BD126" i="1"/>
  <c r="AP126" i="1"/>
  <c r="AO126" i="1"/>
  <c r="AL126" i="1"/>
  <c r="AK126" i="1"/>
  <c r="AJ126" i="1"/>
  <c r="AH126" i="1"/>
  <c r="AG126" i="1"/>
  <c r="AF126" i="1"/>
  <c r="AE126" i="1"/>
  <c r="AD126" i="1"/>
  <c r="Z126" i="1"/>
  <c r="J126" i="1"/>
  <c r="I126" i="1"/>
  <c r="H126" i="1"/>
  <c r="BJ123" i="1"/>
  <c r="BF123" i="1"/>
  <c r="BD123" i="1"/>
  <c r="AW123" i="1"/>
  <c r="AP123" i="1"/>
  <c r="AO123" i="1"/>
  <c r="AL123" i="1"/>
  <c r="AK123" i="1"/>
  <c r="AJ123" i="1"/>
  <c r="AH123" i="1"/>
  <c r="AG123" i="1"/>
  <c r="AF123" i="1"/>
  <c r="AE123" i="1"/>
  <c r="AD123" i="1"/>
  <c r="Z123" i="1"/>
  <c r="J123" i="1"/>
  <c r="I123" i="1"/>
  <c r="BJ120" i="1"/>
  <c r="BI120" i="1"/>
  <c r="AC120" i="1" s="1"/>
  <c r="BH120" i="1"/>
  <c r="AB120" i="1" s="1"/>
  <c r="BF120" i="1"/>
  <c r="BD120" i="1"/>
  <c r="AW120" i="1"/>
  <c r="AP120" i="1"/>
  <c r="AX120" i="1" s="1"/>
  <c r="BC120" i="1" s="1"/>
  <c r="AO120" i="1"/>
  <c r="AL120" i="1"/>
  <c r="AK120" i="1"/>
  <c r="AJ120" i="1"/>
  <c r="AH120" i="1"/>
  <c r="AG120" i="1"/>
  <c r="AF120" i="1"/>
  <c r="AE120" i="1"/>
  <c r="AD120" i="1"/>
  <c r="Z120" i="1"/>
  <c r="J120" i="1"/>
  <c r="I120" i="1"/>
  <c r="H120" i="1"/>
  <c r="BJ117" i="1"/>
  <c r="BI117" i="1"/>
  <c r="AC117" i="1" s="1"/>
  <c r="BH117" i="1"/>
  <c r="AB117" i="1" s="1"/>
  <c r="BF117" i="1"/>
  <c r="BD117" i="1"/>
  <c r="AX117" i="1"/>
  <c r="AP117" i="1"/>
  <c r="AO117" i="1"/>
  <c r="AW117" i="1" s="1"/>
  <c r="AL117" i="1"/>
  <c r="AK117" i="1"/>
  <c r="AJ117" i="1"/>
  <c r="AH117" i="1"/>
  <c r="AG117" i="1"/>
  <c r="AF117" i="1"/>
  <c r="AE117" i="1"/>
  <c r="AD117" i="1"/>
  <c r="Z117" i="1"/>
  <c r="J117" i="1"/>
  <c r="J116" i="1" s="1"/>
  <c r="I117" i="1"/>
  <c r="I116" i="1" s="1"/>
  <c r="H117" i="1"/>
  <c r="H116" i="1" s="1"/>
  <c r="AU116" i="1"/>
  <c r="AT116" i="1"/>
  <c r="AS116" i="1"/>
  <c r="BJ114" i="1"/>
  <c r="BH114" i="1"/>
  <c r="BF114" i="1"/>
  <c r="BD114" i="1"/>
  <c r="AX114" i="1"/>
  <c r="AW114" i="1"/>
  <c r="BC114" i="1" s="1"/>
  <c r="AV114" i="1"/>
  <c r="AP114" i="1"/>
  <c r="I114" i="1" s="1"/>
  <c r="I104" i="1" s="1"/>
  <c r="AO114" i="1"/>
  <c r="AL114" i="1"/>
  <c r="AK114" i="1"/>
  <c r="AJ114" i="1"/>
  <c r="AH114" i="1"/>
  <c r="AG114" i="1"/>
  <c r="AF114" i="1"/>
  <c r="AE114" i="1"/>
  <c r="AD114" i="1"/>
  <c r="AC114" i="1"/>
  <c r="AB114" i="1"/>
  <c r="Z114" i="1"/>
  <c r="J114" i="1"/>
  <c r="H114" i="1"/>
  <c r="BJ112" i="1"/>
  <c r="BI112" i="1"/>
  <c r="BH112" i="1"/>
  <c r="BF112" i="1"/>
  <c r="BD112" i="1"/>
  <c r="AX112" i="1"/>
  <c r="AW112" i="1"/>
  <c r="AV112" i="1" s="1"/>
  <c r="AP112" i="1"/>
  <c r="AO112" i="1"/>
  <c r="AK112" i="1"/>
  <c r="AJ112" i="1"/>
  <c r="AH112" i="1"/>
  <c r="AG112" i="1"/>
  <c r="AF112" i="1"/>
  <c r="AE112" i="1"/>
  <c r="AD112" i="1"/>
  <c r="AC112" i="1"/>
  <c r="AB112" i="1"/>
  <c r="Z112" i="1"/>
  <c r="J112" i="1"/>
  <c r="AL112" i="1" s="1"/>
  <c r="I112" i="1"/>
  <c r="H112" i="1"/>
  <c r="BJ109" i="1"/>
  <c r="BI109" i="1"/>
  <c r="BH109" i="1"/>
  <c r="AB109" i="1" s="1"/>
  <c r="BF109" i="1"/>
  <c r="BD109" i="1"/>
  <c r="AX109" i="1"/>
  <c r="BC109" i="1" s="1"/>
  <c r="AW109" i="1"/>
  <c r="AV109" i="1" s="1"/>
  <c r="AP109" i="1"/>
  <c r="AO109" i="1"/>
  <c r="AL109" i="1"/>
  <c r="AK109" i="1"/>
  <c r="AJ109" i="1"/>
  <c r="AH109" i="1"/>
  <c r="AG109" i="1"/>
  <c r="AF109" i="1"/>
  <c r="AE109" i="1"/>
  <c r="AD109" i="1"/>
  <c r="AC109" i="1"/>
  <c r="Z109" i="1"/>
  <c r="J109" i="1"/>
  <c r="I109" i="1"/>
  <c r="H109" i="1"/>
  <c r="BJ107" i="1"/>
  <c r="BI107" i="1"/>
  <c r="AC107" i="1" s="1"/>
  <c r="BH107" i="1"/>
  <c r="AB107" i="1" s="1"/>
  <c r="BF107" i="1"/>
  <c r="BD107" i="1"/>
  <c r="AX107" i="1"/>
  <c r="AP107" i="1"/>
  <c r="AO107" i="1"/>
  <c r="AW107" i="1" s="1"/>
  <c r="AV107" i="1" s="1"/>
  <c r="AK107" i="1"/>
  <c r="AJ107" i="1"/>
  <c r="AS104" i="1" s="1"/>
  <c r="AH107" i="1"/>
  <c r="AG107" i="1"/>
  <c r="AF107" i="1"/>
  <c r="AE107" i="1"/>
  <c r="AD107" i="1"/>
  <c r="Z107" i="1"/>
  <c r="J107" i="1"/>
  <c r="AL107" i="1" s="1"/>
  <c r="AU104" i="1" s="1"/>
  <c r="I107" i="1"/>
  <c r="H107" i="1"/>
  <c r="BJ105" i="1"/>
  <c r="BI105" i="1"/>
  <c r="AC105" i="1" s="1"/>
  <c r="BH105" i="1"/>
  <c r="AB105" i="1" s="1"/>
  <c r="BF105" i="1"/>
  <c r="BD105" i="1"/>
  <c r="AW105" i="1"/>
  <c r="AP105" i="1"/>
  <c r="AX105" i="1" s="1"/>
  <c r="BC105" i="1" s="1"/>
  <c r="AO105" i="1"/>
  <c r="AL105" i="1"/>
  <c r="AK105" i="1"/>
  <c r="AJ105" i="1"/>
  <c r="AH105" i="1"/>
  <c r="AG105" i="1"/>
  <c r="AF105" i="1"/>
  <c r="AE105" i="1"/>
  <c r="AD105" i="1"/>
  <c r="Z105" i="1"/>
  <c r="J105" i="1"/>
  <c r="I105" i="1"/>
  <c r="H105" i="1"/>
  <c r="H104" i="1" s="1"/>
  <c r="AT104" i="1"/>
  <c r="J104" i="1"/>
  <c r="BJ100" i="1"/>
  <c r="BF100" i="1"/>
  <c r="BD100" i="1"/>
  <c r="AX100" i="1"/>
  <c r="AW100" i="1"/>
  <c r="BC100" i="1" s="1"/>
  <c r="AV100" i="1"/>
  <c r="AP100" i="1"/>
  <c r="AO100" i="1"/>
  <c r="H100" i="1" s="1"/>
  <c r="AK100" i="1"/>
  <c r="AJ100" i="1"/>
  <c r="AH100" i="1"/>
  <c r="AG100" i="1"/>
  <c r="AF100" i="1"/>
  <c r="AE100" i="1"/>
  <c r="AD100" i="1"/>
  <c r="Z100" i="1"/>
  <c r="J100" i="1"/>
  <c r="AL100" i="1" s="1"/>
  <c r="AU99" i="1" s="1"/>
  <c r="AT99" i="1"/>
  <c r="AS99" i="1"/>
  <c r="H99" i="1"/>
  <c r="BJ95" i="1"/>
  <c r="BI95" i="1"/>
  <c r="AC95" i="1" s="1"/>
  <c r="BF95" i="1"/>
  <c r="BD95" i="1"/>
  <c r="AP95" i="1"/>
  <c r="AX95" i="1" s="1"/>
  <c r="AO95" i="1"/>
  <c r="AW95" i="1" s="1"/>
  <c r="AK95" i="1"/>
  <c r="AJ95" i="1"/>
  <c r="AH95" i="1"/>
  <c r="AG95" i="1"/>
  <c r="AF95" i="1"/>
  <c r="AE95" i="1"/>
  <c r="AD95" i="1"/>
  <c r="Z95" i="1"/>
  <c r="J95" i="1"/>
  <c r="AL95" i="1" s="1"/>
  <c r="AU90" i="1" s="1"/>
  <c r="I95" i="1"/>
  <c r="BJ91" i="1"/>
  <c r="BF91" i="1"/>
  <c r="BD91" i="1"/>
  <c r="AP91" i="1"/>
  <c r="AX91" i="1" s="1"/>
  <c r="AO91" i="1"/>
  <c r="AL91" i="1"/>
  <c r="AK91" i="1"/>
  <c r="AT90" i="1" s="1"/>
  <c r="AJ91" i="1"/>
  <c r="AS90" i="1" s="1"/>
  <c r="AH91" i="1"/>
  <c r="AG91" i="1"/>
  <c r="AF91" i="1"/>
  <c r="AE91" i="1"/>
  <c r="AD91" i="1"/>
  <c r="Z91" i="1"/>
  <c r="J91" i="1"/>
  <c r="I91" i="1"/>
  <c r="H91" i="1"/>
  <c r="BJ87" i="1"/>
  <c r="BI87" i="1"/>
  <c r="BH87" i="1"/>
  <c r="BF87" i="1"/>
  <c r="BD87" i="1"/>
  <c r="BC87" i="1"/>
  <c r="AX87" i="1"/>
  <c r="AW87" i="1"/>
  <c r="AV87" i="1" s="1"/>
  <c r="AP87" i="1"/>
  <c r="AO87" i="1"/>
  <c r="H87" i="1" s="1"/>
  <c r="AL87" i="1"/>
  <c r="AK87" i="1"/>
  <c r="AJ87" i="1"/>
  <c r="AH87" i="1"/>
  <c r="AG87" i="1"/>
  <c r="AF87" i="1"/>
  <c r="AE87" i="1"/>
  <c r="AD87" i="1"/>
  <c r="AC87" i="1"/>
  <c r="AB87" i="1"/>
  <c r="Z87" i="1"/>
  <c r="J87" i="1"/>
  <c r="I87" i="1"/>
  <c r="BJ84" i="1"/>
  <c r="BI84" i="1"/>
  <c r="AC84" i="1" s="1"/>
  <c r="BH84" i="1"/>
  <c r="AB84" i="1" s="1"/>
  <c r="BF84" i="1"/>
  <c r="BD84" i="1"/>
  <c r="BC84" i="1"/>
  <c r="AX84" i="1"/>
  <c r="AP84" i="1"/>
  <c r="AO84" i="1"/>
  <c r="AW84" i="1" s="1"/>
  <c r="AV84" i="1" s="1"/>
  <c r="AK84" i="1"/>
  <c r="AJ84" i="1"/>
  <c r="AH84" i="1"/>
  <c r="AG84" i="1"/>
  <c r="AF84" i="1"/>
  <c r="AE84" i="1"/>
  <c r="AD84" i="1"/>
  <c r="Z84" i="1"/>
  <c r="J84" i="1"/>
  <c r="AL84" i="1" s="1"/>
  <c r="I84" i="1"/>
  <c r="H84" i="1"/>
  <c r="BJ81" i="1"/>
  <c r="BI81" i="1"/>
  <c r="AC81" i="1" s="1"/>
  <c r="BH81" i="1"/>
  <c r="AB81" i="1" s="1"/>
  <c r="BF81" i="1"/>
  <c r="BD81" i="1"/>
  <c r="AW81" i="1"/>
  <c r="AP81" i="1"/>
  <c r="AX81" i="1" s="1"/>
  <c r="BC81" i="1" s="1"/>
  <c r="AO81" i="1"/>
  <c r="AL81" i="1"/>
  <c r="AK81" i="1"/>
  <c r="AJ81" i="1"/>
  <c r="AH81" i="1"/>
  <c r="AG81" i="1"/>
  <c r="AF81" i="1"/>
  <c r="AE81" i="1"/>
  <c r="AD81" i="1"/>
  <c r="Z81" i="1"/>
  <c r="J81" i="1"/>
  <c r="I81" i="1"/>
  <c r="H81" i="1"/>
  <c r="BJ76" i="1"/>
  <c r="BI76" i="1"/>
  <c r="AC76" i="1" s="1"/>
  <c r="BH76" i="1"/>
  <c r="AB76" i="1" s="1"/>
  <c r="BF76" i="1"/>
  <c r="BD76" i="1"/>
  <c r="AX76" i="1"/>
  <c r="AP76" i="1"/>
  <c r="AO76" i="1"/>
  <c r="AW76" i="1" s="1"/>
  <c r="AL76" i="1"/>
  <c r="AK76" i="1"/>
  <c r="AT72" i="1" s="1"/>
  <c r="AJ76" i="1"/>
  <c r="AS72" i="1" s="1"/>
  <c r="AH76" i="1"/>
  <c r="AG76" i="1"/>
  <c r="AF76" i="1"/>
  <c r="AE76" i="1"/>
  <c r="AD76" i="1"/>
  <c r="Z76" i="1"/>
  <c r="J76" i="1"/>
  <c r="I76" i="1"/>
  <c r="H76" i="1"/>
  <c r="BJ73" i="1"/>
  <c r="BI73" i="1"/>
  <c r="AC73" i="1" s="1"/>
  <c r="BH73" i="1"/>
  <c r="AB73" i="1" s="1"/>
  <c r="BF73" i="1"/>
  <c r="BD73" i="1"/>
  <c r="AP73" i="1"/>
  <c r="AX73" i="1" s="1"/>
  <c r="AO73" i="1"/>
  <c r="AW73" i="1" s="1"/>
  <c r="AK73" i="1"/>
  <c r="AJ73" i="1"/>
  <c r="AH73" i="1"/>
  <c r="AG73" i="1"/>
  <c r="AF73" i="1"/>
  <c r="AE73" i="1"/>
  <c r="AD73" i="1"/>
  <c r="Z73" i="1"/>
  <c r="J73" i="1"/>
  <c r="J72" i="1" s="1"/>
  <c r="I73" i="1"/>
  <c r="I72" i="1" s="1"/>
  <c r="H73" i="1"/>
  <c r="BJ69" i="1"/>
  <c r="BH69" i="1"/>
  <c r="BF69" i="1"/>
  <c r="BD69" i="1"/>
  <c r="AX69" i="1"/>
  <c r="AW69" i="1"/>
  <c r="BC69" i="1" s="1"/>
  <c r="AV69" i="1"/>
  <c r="AP69" i="1"/>
  <c r="BI69" i="1" s="1"/>
  <c r="AO69" i="1"/>
  <c r="AK69" i="1"/>
  <c r="AJ69" i="1"/>
  <c r="AH69" i="1"/>
  <c r="AG69" i="1"/>
  <c r="AF69" i="1"/>
  <c r="AE69" i="1"/>
  <c r="AD69" i="1"/>
  <c r="AC69" i="1"/>
  <c r="AB69" i="1"/>
  <c r="Z69" i="1"/>
  <c r="J69" i="1"/>
  <c r="AL69" i="1" s="1"/>
  <c r="AU65" i="1" s="1"/>
  <c r="I69" i="1"/>
  <c r="H69" i="1"/>
  <c r="BJ66" i="1"/>
  <c r="BI66" i="1"/>
  <c r="BH66" i="1"/>
  <c r="AB66" i="1" s="1"/>
  <c r="BF66" i="1"/>
  <c r="BD66" i="1"/>
  <c r="AX66" i="1"/>
  <c r="AW66" i="1"/>
  <c r="AP66" i="1"/>
  <c r="AO66" i="1"/>
  <c r="H66" i="1" s="1"/>
  <c r="AL66" i="1"/>
  <c r="AK66" i="1"/>
  <c r="AJ66" i="1"/>
  <c r="AH66" i="1"/>
  <c r="AG66" i="1"/>
  <c r="AF66" i="1"/>
  <c r="AE66" i="1"/>
  <c r="AD66" i="1"/>
  <c r="AC66" i="1"/>
  <c r="Z66" i="1"/>
  <c r="J66" i="1"/>
  <c r="I66" i="1"/>
  <c r="AT65" i="1"/>
  <c r="AS65" i="1"/>
  <c r="J65" i="1"/>
  <c r="I65" i="1"/>
  <c r="H65" i="1"/>
  <c r="BJ62" i="1"/>
  <c r="BF62" i="1"/>
  <c r="BD62" i="1"/>
  <c r="AW62" i="1"/>
  <c r="AP62" i="1"/>
  <c r="AO62" i="1"/>
  <c r="BH62" i="1" s="1"/>
  <c r="AK62" i="1"/>
  <c r="AT61" i="1" s="1"/>
  <c r="AJ62" i="1"/>
  <c r="AH62" i="1"/>
  <c r="AG62" i="1"/>
  <c r="AF62" i="1"/>
  <c r="AE62" i="1"/>
  <c r="AD62" i="1"/>
  <c r="AB62" i="1"/>
  <c r="Z62" i="1"/>
  <c r="J62" i="1"/>
  <c r="J61" i="1" s="1"/>
  <c r="AS61" i="1"/>
  <c r="BJ58" i="1"/>
  <c r="BI58" i="1"/>
  <c r="AC58" i="1" s="1"/>
  <c r="BH58" i="1"/>
  <c r="AB58" i="1" s="1"/>
  <c r="BF58" i="1"/>
  <c r="BD58" i="1"/>
  <c r="AW58" i="1"/>
  <c r="AP58" i="1"/>
  <c r="AX58" i="1" s="1"/>
  <c r="BC58" i="1" s="1"/>
  <c r="AO58" i="1"/>
  <c r="AL58" i="1"/>
  <c r="AK58" i="1"/>
  <c r="AJ58" i="1"/>
  <c r="AH58" i="1"/>
  <c r="AG58" i="1"/>
  <c r="AF58" i="1"/>
  <c r="AE58" i="1"/>
  <c r="AD58" i="1"/>
  <c r="Z58" i="1"/>
  <c r="J58" i="1"/>
  <c r="I58" i="1"/>
  <c r="H58" i="1"/>
  <c r="BJ51" i="1"/>
  <c r="BI51" i="1"/>
  <c r="AC51" i="1" s="1"/>
  <c r="BH51" i="1"/>
  <c r="AB51" i="1" s="1"/>
  <c r="BF51" i="1"/>
  <c r="BD51" i="1"/>
  <c r="AX51" i="1"/>
  <c r="AP51" i="1"/>
  <c r="AO51" i="1"/>
  <c r="AW51" i="1" s="1"/>
  <c r="AL51" i="1"/>
  <c r="AU50" i="1" s="1"/>
  <c r="AK51" i="1"/>
  <c r="AJ51" i="1"/>
  <c r="AS50" i="1" s="1"/>
  <c r="AH51" i="1"/>
  <c r="AG51" i="1"/>
  <c r="AF51" i="1"/>
  <c r="AE51" i="1"/>
  <c r="AD51" i="1"/>
  <c r="Z51" i="1"/>
  <c r="J51" i="1"/>
  <c r="I51" i="1"/>
  <c r="I50" i="1" s="1"/>
  <c r="H51" i="1"/>
  <c r="H50" i="1" s="1"/>
  <c r="AT50" i="1"/>
  <c r="J50" i="1"/>
  <c r="BJ47" i="1"/>
  <c r="BF47" i="1"/>
  <c r="BD47" i="1"/>
  <c r="AW47" i="1"/>
  <c r="AP47" i="1"/>
  <c r="AO47" i="1"/>
  <c r="BH47" i="1" s="1"/>
  <c r="AB47" i="1" s="1"/>
  <c r="AK47" i="1"/>
  <c r="AJ47" i="1"/>
  <c r="AH47" i="1"/>
  <c r="AG47" i="1"/>
  <c r="AF47" i="1"/>
  <c r="AE47" i="1"/>
  <c r="AD47" i="1"/>
  <c r="Z47" i="1"/>
  <c r="J47" i="1"/>
  <c r="AL47" i="1" s="1"/>
  <c r="H47" i="1"/>
  <c r="BJ44" i="1"/>
  <c r="BH44" i="1"/>
  <c r="BF44" i="1"/>
  <c r="BD44" i="1"/>
  <c r="AX44" i="1"/>
  <c r="AW44" i="1"/>
  <c r="BC44" i="1" s="1"/>
  <c r="AV44" i="1"/>
  <c r="AP44" i="1"/>
  <c r="BI44" i="1" s="1"/>
  <c r="AC44" i="1" s="1"/>
  <c r="AO44" i="1"/>
  <c r="AK44" i="1"/>
  <c r="AJ44" i="1"/>
  <c r="AH44" i="1"/>
  <c r="AG44" i="1"/>
  <c r="AF44" i="1"/>
  <c r="AE44" i="1"/>
  <c r="AD44" i="1"/>
  <c r="AB44" i="1"/>
  <c r="Z44" i="1"/>
  <c r="J44" i="1"/>
  <c r="AL44" i="1" s="1"/>
  <c r="I44" i="1"/>
  <c r="H44" i="1"/>
  <c r="BJ41" i="1"/>
  <c r="BI41" i="1"/>
  <c r="BH41" i="1"/>
  <c r="AB41" i="1" s="1"/>
  <c r="BF41" i="1"/>
  <c r="BD41" i="1"/>
  <c r="AX41" i="1"/>
  <c r="AW41" i="1"/>
  <c r="AV41" i="1" s="1"/>
  <c r="AP41" i="1"/>
  <c r="AO41" i="1"/>
  <c r="H41" i="1" s="1"/>
  <c r="AK41" i="1"/>
  <c r="AJ41" i="1"/>
  <c r="AH41" i="1"/>
  <c r="AG41" i="1"/>
  <c r="AF41" i="1"/>
  <c r="AE41" i="1"/>
  <c r="AD41" i="1"/>
  <c r="AC41" i="1"/>
  <c r="Z41" i="1"/>
  <c r="J41" i="1"/>
  <c r="AL41" i="1" s="1"/>
  <c r="I41" i="1"/>
  <c r="BJ37" i="1"/>
  <c r="BI37" i="1"/>
  <c r="AC37" i="1" s="1"/>
  <c r="BH37" i="1"/>
  <c r="AB37" i="1" s="1"/>
  <c r="BF37" i="1"/>
  <c r="BD37" i="1"/>
  <c r="BC37" i="1"/>
  <c r="AX37" i="1"/>
  <c r="AW37" i="1"/>
  <c r="AP37" i="1"/>
  <c r="AO37" i="1"/>
  <c r="AK37" i="1"/>
  <c r="AJ37" i="1"/>
  <c r="AH37" i="1"/>
  <c r="AG37" i="1"/>
  <c r="AF37" i="1"/>
  <c r="AE37" i="1"/>
  <c r="AD37" i="1"/>
  <c r="Z37" i="1"/>
  <c r="J37" i="1"/>
  <c r="AL37" i="1" s="1"/>
  <c r="I37" i="1"/>
  <c r="H37" i="1"/>
  <c r="BJ34" i="1"/>
  <c r="BI34" i="1"/>
  <c r="AC34" i="1" s="1"/>
  <c r="BH34" i="1"/>
  <c r="AB34" i="1" s="1"/>
  <c r="BF34" i="1"/>
  <c r="BD34" i="1"/>
  <c r="BC34" i="1"/>
  <c r="AX34" i="1"/>
  <c r="AV34" i="1" s="1"/>
  <c r="AW34" i="1"/>
  <c r="AP34" i="1"/>
  <c r="AO34" i="1"/>
  <c r="AL34" i="1"/>
  <c r="AK34" i="1"/>
  <c r="AJ34" i="1"/>
  <c r="AH34" i="1"/>
  <c r="AG34" i="1"/>
  <c r="AF34" i="1"/>
  <c r="AE34" i="1"/>
  <c r="AD34" i="1"/>
  <c r="Z34" i="1"/>
  <c r="J34" i="1"/>
  <c r="I34" i="1"/>
  <c r="H34" i="1"/>
  <c r="BJ28" i="1"/>
  <c r="BI28" i="1"/>
  <c r="AC28" i="1" s="1"/>
  <c r="BF28" i="1"/>
  <c r="BD28" i="1"/>
  <c r="AP28" i="1"/>
  <c r="AX28" i="1" s="1"/>
  <c r="AO28" i="1"/>
  <c r="AW28" i="1" s="1"/>
  <c r="AL28" i="1"/>
  <c r="AK28" i="1"/>
  <c r="AJ28" i="1"/>
  <c r="AS27" i="1" s="1"/>
  <c r="AH28" i="1"/>
  <c r="AG28" i="1"/>
  <c r="AF28" i="1"/>
  <c r="AE28" i="1"/>
  <c r="AD28" i="1"/>
  <c r="Z28" i="1"/>
  <c r="J28" i="1"/>
  <c r="I28" i="1"/>
  <c r="H28" i="1"/>
  <c r="H27" i="1" s="1"/>
  <c r="AU27" i="1"/>
  <c r="AT27" i="1"/>
  <c r="J27" i="1"/>
  <c r="BJ24" i="1"/>
  <c r="BF24" i="1"/>
  <c r="BD24" i="1"/>
  <c r="AW24" i="1"/>
  <c r="AP24" i="1"/>
  <c r="AX24" i="1" s="1"/>
  <c r="AV24" i="1" s="1"/>
  <c r="AO24" i="1"/>
  <c r="BH24" i="1" s="1"/>
  <c r="AB24" i="1" s="1"/>
  <c r="AK24" i="1"/>
  <c r="AJ24" i="1"/>
  <c r="AH24" i="1"/>
  <c r="AG24" i="1"/>
  <c r="AF24" i="1"/>
  <c r="AE24" i="1"/>
  <c r="AD24" i="1"/>
  <c r="Z24" i="1"/>
  <c r="J24" i="1"/>
  <c r="AL24" i="1" s="1"/>
  <c r="H24" i="1"/>
  <c r="BJ20" i="1"/>
  <c r="BH20" i="1"/>
  <c r="AB20" i="1" s="1"/>
  <c r="BF20" i="1"/>
  <c r="BD20" i="1"/>
  <c r="AX20" i="1"/>
  <c r="AW20" i="1"/>
  <c r="BC20" i="1" s="1"/>
  <c r="AV20" i="1"/>
  <c r="AP20" i="1"/>
  <c r="BI20" i="1" s="1"/>
  <c r="AC20" i="1" s="1"/>
  <c r="AO20" i="1"/>
  <c r="AK20" i="1"/>
  <c r="AJ20" i="1"/>
  <c r="AH20" i="1"/>
  <c r="C20" i="2" s="1"/>
  <c r="AG20" i="1"/>
  <c r="AF20" i="1"/>
  <c r="AE20" i="1"/>
  <c r="AD20" i="1"/>
  <c r="Z20" i="1"/>
  <c r="J20" i="1"/>
  <c r="AL20" i="1" s="1"/>
  <c r="I20" i="1"/>
  <c r="H20" i="1"/>
  <c r="AT19" i="1"/>
  <c r="AS19" i="1"/>
  <c r="J19" i="1"/>
  <c r="H19" i="1"/>
  <c r="BJ16" i="1"/>
  <c r="BF16" i="1"/>
  <c r="BD16" i="1"/>
  <c r="AP16" i="1"/>
  <c r="AX16" i="1" s="1"/>
  <c r="AO16" i="1"/>
  <c r="BH16" i="1" s="1"/>
  <c r="AB16" i="1" s="1"/>
  <c r="AL16" i="1"/>
  <c r="AK16" i="1"/>
  <c r="AJ16" i="1"/>
  <c r="AS12" i="1" s="1"/>
  <c r="AH16" i="1"/>
  <c r="AG16" i="1"/>
  <c r="AF16" i="1"/>
  <c r="AE16" i="1"/>
  <c r="AD16" i="1"/>
  <c r="Z16" i="1"/>
  <c r="J16" i="1"/>
  <c r="I16" i="1"/>
  <c r="H16" i="1"/>
  <c r="H12" i="1" s="1"/>
  <c r="BJ13" i="1"/>
  <c r="BF13" i="1"/>
  <c r="BD13" i="1"/>
  <c r="AP13" i="1"/>
  <c r="BI13" i="1" s="1"/>
  <c r="AC13" i="1" s="1"/>
  <c r="AO13" i="1"/>
  <c r="BH13" i="1" s="1"/>
  <c r="AB13" i="1" s="1"/>
  <c r="AL13" i="1"/>
  <c r="AK13" i="1"/>
  <c r="AJ13" i="1"/>
  <c r="AH13" i="1"/>
  <c r="AG13" i="1"/>
  <c r="AF13" i="1"/>
  <c r="AE13" i="1"/>
  <c r="AD13" i="1"/>
  <c r="Z13" i="1"/>
  <c r="J13" i="1"/>
  <c r="I13" i="1"/>
  <c r="H13" i="1"/>
  <c r="AU1" i="1"/>
  <c r="AT1" i="1"/>
  <c r="AS1" i="1"/>
  <c r="BC24" i="1" l="1"/>
  <c r="AU172" i="1"/>
  <c r="BC153" i="1"/>
  <c r="AV62" i="1"/>
  <c r="BC47" i="1"/>
  <c r="H95" i="1"/>
  <c r="AT12" i="1"/>
  <c r="C28" i="2"/>
  <c r="F28" i="2" s="1"/>
  <c r="BC175" i="1"/>
  <c r="BH95" i="1"/>
  <c r="AB95" i="1" s="1"/>
  <c r="BC130" i="1"/>
  <c r="AV130" i="1"/>
  <c r="AW207" i="1"/>
  <c r="H207" i="1"/>
  <c r="H206" i="1" s="1"/>
  <c r="AW145" i="1"/>
  <c r="BH145" i="1"/>
  <c r="I217" i="1"/>
  <c r="I90" i="1"/>
  <c r="H72" i="1"/>
  <c r="BC73" i="1"/>
  <c r="AV73" i="1"/>
  <c r="BI100" i="1"/>
  <c r="AC100" i="1" s="1"/>
  <c r="I100" i="1"/>
  <c r="I99" i="1" s="1"/>
  <c r="BC123" i="1"/>
  <c r="AX142" i="1"/>
  <c r="BI142" i="1"/>
  <c r="AC142" i="1" s="1"/>
  <c r="BI155" i="1"/>
  <c r="I155" i="1"/>
  <c r="AV185" i="1"/>
  <c r="BH189" i="1"/>
  <c r="AF189" i="1" s="1"/>
  <c r="AW189" i="1"/>
  <c r="BC194" i="1"/>
  <c r="AV194" i="1"/>
  <c r="AV58" i="1"/>
  <c r="AV66" i="1"/>
  <c r="AV105" i="1"/>
  <c r="AV120" i="1"/>
  <c r="AS122" i="1"/>
  <c r="AL139" i="1"/>
  <c r="AU138" i="1" s="1"/>
  <c r="BC155" i="1"/>
  <c r="BI170" i="1"/>
  <c r="AC170" i="1" s="1"/>
  <c r="I170" i="1"/>
  <c r="I160" i="1" s="1"/>
  <c r="AV177" i="1"/>
  <c r="AV209" i="1"/>
  <c r="BC209" i="1"/>
  <c r="AV211" i="1"/>
  <c r="AX189" i="1"/>
  <c r="BI189" i="1"/>
  <c r="AG189" i="1" s="1"/>
  <c r="BH139" i="1"/>
  <c r="AB139" i="1" s="1"/>
  <c r="H139" i="1"/>
  <c r="H138" i="1" s="1"/>
  <c r="BC179" i="1"/>
  <c r="I18" i="3"/>
  <c r="F29" i="3" s="1"/>
  <c r="F14" i="2"/>
  <c r="F22" i="2" s="1"/>
  <c r="AX170" i="1"/>
  <c r="AV170" i="1" s="1"/>
  <c r="BH187" i="1"/>
  <c r="AF187" i="1" s="1"/>
  <c r="H187" i="1"/>
  <c r="H172" i="1" s="1"/>
  <c r="AV198" i="1"/>
  <c r="BC62" i="1"/>
  <c r="I12" i="1"/>
  <c r="AV28" i="1"/>
  <c r="BC28" i="1"/>
  <c r="J12" i="1"/>
  <c r="BI133" i="1"/>
  <c r="AE133" i="1" s="1"/>
  <c r="C17" i="2" s="1"/>
  <c r="I133" i="1"/>
  <c r="I132" i="1" s="1"/>
  <c r="AX187" i="1"/>
  <c r="BI187" i="1"/>
  <c r="AG187" i="1" s="1"/>
  <c r="C19" i="2" s="1"/>
  <c r="AW192" i="1"/>
  <c r="BH192" i="1"/>
  <c r="AF192" i="1" s="1"/>
  <c r="H217" i="1"/>
  <c r="I45" i="3"/>
  <c r="I24" i="2" s="1"/>
  <c r="I47" i="1"/>
  <c r="BI47" i="1"/>
  <c r="AC47" i="1" s="1"/>
  <c r="BI153" i="1"/>
  <c r="AC153" i="1" s="1"/>
  <c r="I153" i="1"/>
  <c r="I148" i="1" s="1"/>
  <c r="C27" i="2"/>
  <c r="BC66" i="1"/>
  <c r="AW126" i="1"/>
  <c r="BH126" i="1"/>
  <c r="AB126" i="1" s="1"/>
  <c r="H90" i="1"/>
  <c r="I192" i="1"/>
  <c r="AV196" i="1"/>
  <c r="BC196" i="1"/>
  <c r="AX139" i="1"/>
  <c r="BC139" i="1" s="1"/>
  <c r="BI139" i="1"/>
  <c r="AC139" i="1" s="1"/>
  <c r="AU12" i="1"/>
  <c r="I24" i="1"/>
  <c r="I19" i="1" s="1"/>
  <c r="BI24" i="1"/>
  <c r="AC24" i="1" s="1"/>
  <c r="C15" i="2" s="1"/>
  <c r="AX126" i="1"/>
  <c r="BI126" i="1"/>
  <c r="AC126" i="1" s="1"/>
  <c r="C21" i="2"/>
  <c r="AW16" i="1"/>
  <c r="AV76" i="1"/>
  <c r="BC76" i="1"/>
  <c r="AT122" i="1"/>
  <c r="AX153" i="1"/>
  <c r="AV153" i="1" s="1"/>
  <c r="I206" i="1"/>
  <c r="AU122" i="1"/>
  <c r="AU160" i="1"/>
  <c r="BH28" i="1"/>
  <c r="AB28" i="1" s="1"/>
  <c r="C14" i="2" s="1"/>
  <c r="J90" i="1"/>
  <c r="J122" i="1"/>
  <c r="BH123" i="1"/>
  <c r="AB123" i="1" s="1"/>
  <c r="H123" i="1"/>
  <c r="H122" i="1" s="1"/>
  <c r="AX133" i="1"/>
  <c r="AV133" i="1" s="1"/>
  <c r="AX157" i="1"/>
  <c r="BI157" i="1"/>
  <c r="AC157" i="1" s="1"/>
  <c r="AV51" i="1"/>
  <c r="BC51" i="1"/>
  <c r="AV81" i="1"/>
  <c r="I27" i="1"/>
  <c r="AV173" i="1"/>
  <c r="AX47" i="1"/>
  <c r="AV47" i="1" s="1"/>
  <c r="AS138" i="1"/>
  <c r="BH157" i="1"/>
  <c r="AB157" i="1" s="1"/>
  <c r="H157" i="1"/>
  <c r="AX223" i="1"/>
  <c r="AV223" i="1" s="1"/>
  <c r="BI223" i="1"/>
  <c r="AX13" i="1"/>
  <c r="BI16" i="1"/>
  <c r="AC16" i="1" s="1"/>
  <c r="BC41" i="1"/>
  <c r="H62" i="1"/>
  <c r="H61" i="1" s="1"/>
  <c r="BC107" i="1"/>
  <c r="AX123" i="1"/>
  <c r="BI123" i="1"/>
  <c r="AC123" i="1" s="1"/>
  <c r="BH130" i="1"/>
  <c r="BC164" i="1"/>
  <c r="J172" i="1"/>
  <c r="BH185" i="1"/>
  <c r="AF185" i="1" s="1"/>
  <c r="H185" i="1"/>
  <c r="BI192" i="1"/>
  <c r="AG192" i="1" s="1"/>
  <c r="BC204" i="1"/>
  <c r="AV204" i="1"/>
  <c r="BH207" i="1"/>
  <c r="AF207" i="1" s="1"/>
  <c r="AV219" i="1"/>
  <c r="AX62" i="1"/>
  <c r="BI62" i="1"/>
  <c r="AC62" i="1" s="1"/>
  <c r="BC95" i="1"/>
  <c r="AV95" i="1"/>
  <c r="AV117" i="1"/>
  <c r="BC117" i="1"/>
  <c r="BI183" i="1"/>
  <c r="AG183" i="1" s="1"/>
  <c r="I183" i="1"/>
  <c r="I172" i="1" s="1"/>
  <c r="AU19" i="1"/>
  <c r="AW91" i="1"/>
  <c r="BH91" i="1"/>
  <c r="AB91" i="1" s="1"/>
  <c r="BC112" i="1"/>
  <c r="I122" i="1"/>
  <c r="AV136" i="1"/>
  <c r="AX183" i="1"/>
  <c r="AV183" i="1" s="1"/>
  <c r="AW187" i="1"/>
  <c r="AW13" i="1"/>
  <c r="AV37" i="1"/>
  <c r="I62" i="1"/>
  <c r="I61" i="1" s="1"/>
  <c r="AL62" i="1"/>
  <c r="AU61" i="1" s="1"/>
  <c r="AL73" i="1"/>
  <c r="AU72" i="1" s="1"/>
  <c r="BI91" i="1"/>
  <c r="AC91" i="1" s="1"/>
  <c r="AV123" i="1"/>
  <c r="AW128" i="1"/>
  <c r="BH128" i="1"/>
  <c r="AB128" i="1" s="1"/>
  <c r="I142" i="1"/>
  <c r="I138" i="1" s="1"/>
  <c r="AW142" i="1"/>
  <c r="BH142" i="1"/>
  <c r="AB142" i="1" s="1"/>
  <c r="BI145" i="1"/>
  <c r="BH155" i="1"/>
  <c r="H155" i="1"/>
  <c r="AW157" i="1"/>
  <c r="BI185" i="1"/>
  <c r="AG185" i="1" s="1"/>
  <c r="I185" i="1"/>
  <c r="AV202" i="1"/>
  <c r="BC213" i="1"/>
  <c r="J99" i="1"/>
  <c r="AX226" i="1"/>
  <c r="BC226" i="1" s="1"/>
  <c r="BH100" i="1"/>
  <c r="AB100" i="1" s="1"/>
  <c r="BI114" i="1"/>
  <c r="BH133" i="1"/>
  <c r="AD133" i="1" s="1"/>
  <c r="C16" i="2" s="1"/>
  <c r="BI149" i="1"/>
  <c r="AC149" i="1" s="1"/>
  <c r="BH153" i="1"/>
  <c r="AB153" i="1" s="1"/>
  <c r="BI167" i="1"/>
  <c r="AC167" i="1" s="1"/>
  <c r="BH170" i="1"/>
  <c r="AB170" i="1" s="1"/>
  <c r="BI181" i="1"/>
  <c r="AG181" i="1" s="1"/>
  <c r="BH183" i="1"/>
  <c r="AF183" i="1" s="1"/>
  <c r="C18" i="2" s="1"/>
  <c r="BI226" i="1"/>
  <c r="C22" i="2" l="1"/>
  <c r="BC187" i="1"/>
  <c r="AV187" i="1"/>
  <c r="BC16" i="1"/>
  <c r="AV16" i="1"/>
  <c r="AV192" i="1"/>
  <c r="BC192" i="1"/>
  <c r="BC223" i="1"/>
  <c r="J228" i="1"/>
  <c r="C29" i="2"/>
  <c r="F29" i="2" s="1"/>
  <c r="BC142" i="1"/>
  <c r="AV142" i="1"/>
  <c r="BC207" i="1"/>
  <c r="AV207" i="1"/>
  <c r="BC128" i="1"/>
  <c r="AV128" i="1"/>
  <c r="AV226" i="1"/>
  <c r="BC170" i="1"/>
  <c r="BC189" i="1"/>
  <c r="AV189" i="1"/>
  <c r="BC133" i="1"/>
  <c r="H148" i="1"/>
  <c r="AV139" i="1"/>
  <c r="BC13" i="1"/>
  <c r="AV13" i="1"/>
  <c r="AV145" i="1"/>
  <c r="BC145" i="1"/>
  <c r="BC126" i="1"/>
  <c r="AV126" i="1"/>
  <c r="BC183" i="1"/>
  <c r="AV91" i="1"/>
  <c r="BC91" i="1"/>
  <c r="BC157" i="1"/>
  <c r="AV157" i="1"/>
  <c r="I28" i="2" l="1"/>
  <c r="I29" i="2" s="1"/>
</calcChain>
</file>

<file path=xl/sharedStrings.xml><?xml version="1.0" encoding="utf-8"?>
<sst xmlns="http://schemas.openxmlformats.org/spreadsheetml/2006/main" count="1501" uniqueCount="505">
  <si>
    <t>Slepý stavební rozpočet</t>
  </si>
  <si>
    <t>Název stavby:</t>
  </si>
  <si>
    <t>VÝSTAVBA HŘIŠTĚ S UMĚLÝM POVRCHEM</t>
  </si>
  <si>
    <t>Doba výstavby:</t>
  </si>
  <si>
    <t xml:space="preserve"> </t>
  </si>
  <si>
    <t>Objednatel:</t>
  </si>
  <si>
    <t>MĚSTO RUMBURK</t>
  </si>
  <si>
    <t>Druh stavby:</t>
  </si>
  <si>
    <t>SPORTOVNÍ PLOCHY</t>
  </si>
  <si>
    <t>Začátek výstavby:</t>
  </si>
  <si>
    <t>Projektant:</t>
  </si>
  <si>
    <t>ING.MICHAL BURDA</t>
  </si>
  <si>
    <t>Lokalita:</t>
  </si>
  <si>
    <t>RUMBURK U BAZÉNU</t>
  </si>
  <si>
    <t>Konec výstavby:</t>
  </si>
  <si>
    <t>Zhotovitel:</t>
  </si>
  <si>
    <t>BUDE VYBRÁN</t>
  </si>
  <si>
    <t>JKSO:</t>
  </si>
  <si>
    <t>Zpracováno dne:</t>
  </si>
  <si>
    <t>08.04.2025</t>
  </si>
  <si>
    <t>Zpracoval:</t>
  </si>
  <si>
    <t>IIČVDF</t>
  </si>
  <si>
    <t>Č</t>
  </si>
  <si>
    <t>Kód</t>
  </si>
  <si>
    <t>Zkrácený popis</t>
  </si>
  <si>
    <t>MJ</t>
  </si>
  <si>
    <t>Množství</t>
  </si>
  <si>
    <t>Cena/MJ</t>
  </si>
  <si>
    <t>Náklady (Kč)</t>
  </si>
  <si>
    <t>Cenová</t>
  </si>
  <si>
    <t>ISWORK</t>
  </si>
  <si>
    <t>GROUPCODE</t>
  </si>
  <si>
    <t>VATTAX</t>
  </si>
  <si>
    <t>Rozměry</t>
  </si>
  <si>
    <t>(Kč)</t>
  </si>
  <si>
    <t>Dodávka</t>
  </si>
  <si>
    <t>Montáž</t>
  </si>
  <si>
    <t>Celkem</t>
  </si>
  <si>
    <t>soustava</t>
  </si>
  <si>
    <t>Přesuny</t>
  </si>
  <si>
    <t>Typ skupiny</t>
  </si>
  <si>
    <t>HSV mat</t>
  </si>
  <si>
    <t>HSV prac</t>
  </si>
  <si>
    <t>PSV mat</t>
  </si>
  <si>
    <t>PSV prac</t>
  </si>
  <si>
    <t>Mont mat</t>
  </si>
  <si>
    <t>Mont prac</t>
  </si>
  <si>
    <t>Ostatní mat.</t>
  </si>
  <si>
    <t>MAT</t>
  </si>
  <si>
    <t>WORK</t>
  </si>
  <si>
    <t>CELK</t>
  </si>
  <si>
    <t/>
  </si>
  <si>
    <t>11</t>
  </si>
  <si>
    <t>Přípravné a přidružené práce</t>
  </si>
  <si>
    <t>1</t>
  </si>
  <si>
    <t>112101102R00</t>
  </si>
  <si>
    <t>Kácení stromů listnatých o průměru kmene 30-50 cm</t>
  </si>
  <si>
    <t>kus</t>
  </si>
  <si>
    <t>RTS I / 2025</t>
  </si>
  <si>
    <t>11_</t>
  </si>
  <si>
    <t>1_</t>
  </si>
  <si>
    <t>_</t>
  </si>
  <si>
    <t>RTS komentář:</t>
  </si>
  <si>
    <t xml:space="preserve">Orientační tabulka počtu stromů při kácení souvislého porostu.  Les Průměr  hustý  střední  řídký v cm  Průměrný počet stromů na 1 ha  10-16  1390  830  380 16-24  850  520  290 24-30  520  340  160 nad 30  520  200  80  </t>
  </si>
  <si>
    <t>2</t>
  </si>
  <si>
    <t>112201102R00</t>
  </si>
  <si>
    <t>Odstranění pařezů pod úrovní, o průměru 30 - 50 cm</t>
  </si>
  <si>
    <t xml:space="preserve">Položka se použivá bez ohledu na technologii odstranění pařezu  Orientační tabulka počtu pařezů při odstranění ze souvislé plochy  Les Průměr  hustý  střední  řídký v cm  Průměrný počet pařezů na 1 ha  10-16  1390  830  380 16-24  850  520  290 24-30  520  340  160 nad 30  520  200  80  </t>
  </si>
  <si>
    <t>12</t>
  </si>
  <si>
    <t>Odkopávky a prokopávky</t>
  </si>
  <si>
    <t>3</t>
  </si>
  <si>
    <t>122201101R00</t>
  </si>
  <si>
    <t>Odkopávky nezapažené v hor. 3</t>
  </si>
  <si>
    <t>m3</t>
  </si>
  <si>
    <t>RTS II / 2024</t>
  </si>
  <si>
    <t>12_</t>
  </si>
  <si>
    <t>20*40*0,3</t>
  </si>
  <si>
    <t>hřiště</t>
  </si>
  <si>
    <t>2*3*2*0,3</t>
  </si>
  <si>
    <t>brankoviště</t>
  </si>
  <si>
    <t>2*3*0,3</t>
  </si>
  <si>
    <t>chodníčky</t>
  </si>
  <si>
    <t>4</t>
  </si>
  <si>
    <t>122201109R00</t>
  </si>
  <si>
    <t>Příplatek za lepivost - odkopávky v hor. 3</t>
  </si>
  <si>
    <t>245,4</t>
  </si>
  <si>
    <t>Do měrných jednotek se udává poměrné množství zeminy, které ulpí v nářadí a o které je snížen celkový výkon stroje.</t>
  </si>
  <si>
    <t>13</t>
  </si>
  <si>
    <t>Hloubené vykopávky</t>
  </si>
  <si>
    <t>5</t>
  </si>
  <si>
    <t>133301101R00</t>
  </si>
  <si>
    <t>Hloubení šachet v hor.4 do 100 m3</t>
  </si>
  <si>
    <t>13_</t>
  </si>
  <si>
    <t>0,9*0,6*0,6*26</t>
  </si>
  <si>
    <t>pro osazení pouzder</t>
  </si>
  <si>
    <t>0,8*0,8*0,7*2</t>
  </si>
  <si>
    <t>pro volejbal</t>
  </si>
  <si>
    <t>0,95*0,95*1,1*4</t>
  </si>
  <si>
    <t>pro sloupy osvětlení</t>
  </si>
  <si>
    <t>0,5*0,5*0,8*3</t>
  </si>
  <si>
    <t>pro revizní šachtu</t>
  </si>
  <si>
    <t>V položce je kalkulováno i svislé přemístění výkopku.</t>
  </si>
  <si>
    <t>6</t>
  </si>
  <si>
    <t>133301109R00</t>
  </si>
  <si>
    <t>Příplatek za lepivost - hloubení šachet v hor.4</t>
  </si>
  <si>
    <t>13,491</t>
  </si>
  <si>
    <t>7</t>
  </si>
  <si>
    <t>132301110R00</t>
  </si>
  <si>
    <t>Hloubení rýh š.do 60 cm v hor.4 do 50 m3,STROJNĚ</t>
  </si>
  <si>
    <t>40*5*0,3*0,3</t>
  </si>
  <si>
    <t>pro odvodnění-drenáže</t>
  </si>
  <si>
    <t>70*0,6*0,9</t>
  </si>
  <si>
    <t>pro napojení do vsaku</t>
  </si>
  <si>
    <t>Položka obsahuje hloubení rýh traktorbagrem, naložení výkopku na dopravní prostředek pro svislé, nebo vodorovné přemístění, popř. přemístění výkopku do 3 m (po povrchu území), případné zajištění rypadel polštáři, udržování pracoviště a ochranu výkopiště proti stékání srážkové vody z okolního terénu i s jejím odvodněním, nebo odvedením, přesekání a odstranění kořenů ve výkopišti, odstranění napadávek, urovnání dna výkopu.</t>
  </si>
  <si>
    <t>8</t>
  </si>
  <si>
    <t>132301119R00</t>
  </si>
  <si>
    <t>Přípl.za lepivost,hloubení rýh 60 cm,hor.4,STROJNĚ</t>
  </si>
  <si>
    <t>37,8</t>
  </si>
  <si>
    <t>9</t>
  </si>
  <si>
    <t>131201110R00</t>
  </si>
  <si>
    <t>Hloubení nezapaž. jam hor.3 do 50 m3, STROJNĚ</t>
  </si>
  <si>
    <t>3*2,5*1,6</t>
  </si>
  <si>
    <t>pro vsak</t>
  </si>
  <si>
    <t>Položka obsahuje hloubení jámy traktorbagrem, naložení výkopku na dopravní prostředek pro svislé, nebo vodorovné přemístění, popř. přemístění výkopku do 3 m (po povrchu území), případné zajištění rypadel polštáři, udržování pracoviště a ochranu výkopiště proti stékání srážkové vody z okolního terénu i s jejím odvodněním, nebo odvedením, přesekání a odstranění kořenů ve výkopišti, odstranění napadávek, urovnání dna výkopu</t>
  </si>
  <si>
    <t>10</t>
  </si>
  <si>
    <t>131201119R00</t>
  </si>
  <si>
    <t>Příplatek za lepivost - hloubení nezap.jam v hor.3</t>
  </si>
  <si>
    <t>Do měrných jednotek se udává poměrné množství zeminy, které ulpí v nářadí a o které je snížen celkový výkon stroje</t>
  </si>
  <si>
    <t>16</t>
  </si>
  <si>
    <t>Přemístění výkopku</t>
  </si>
  <si>
    <t>167101101R00</t>
  </si>
  <si>
    <t>Nakládání výkopku z hor.1-4</t>
  </si>
  <si>
    <t>16_</t>
  </si>
  <si>
    <t>odkopávky</t>
  </si>
  <si>
    <t>55,8</t>
  </si>
  <si>
    <t>odvodnění</t>
  </si>
  <si>
    <t>šachty a patky oplocení</t>
  </si>
  <si>
    <t>vsak</t>
  </si>
  <si>
    <t>35</t>
  </si>
  <si>
    <t>drenáže</t>
  </si>
  <si>
    <t>1,8</t>
  </si>
  <si>
    <t>garáž</t>
  </si>
  <si>
    <t>162201102R00</t>
  </si>
  <si>
    <t>Vodorovné přemístění výkopku z hor.1-4 do 5000 m</t>
  </si>
  <si>
    <t>361,691</t>
  </si>
  <si>
    <t>17</t>
  </si>
  <si>
    <t>Konstrukce ze zemin</t>
  </si>
  <si>
    <t>175101201R00</t>
  </si>
  <si>
    <t>Štěrková výplň vsaku</t>
  </si>
  <si>
    <t>17_</t>
  </si>
  <si>
    <t>Je-li pro obsyp použit jiný materiál než vytěžená sypanina, oceňuje se ve specifikaci. Ztratné se doporučuje ve výši 1%.</t>
  </si>
  <si>
    <t>18</t>
  </si>
  <si>
    <t>Povrchové úpravy terénu</t>
  </si>
  <si>
    <t>14</t>
  </si>
  <si>
    <t>181202305R00</t>
  </si>
  <si>
    <t>Úprava pláně  se zhutněním</t>
  </si>
  <si>
    <t>m2</t>
  </si>
  <si>
    <t>18_</t>
  </si>
  <si>
    <t>40*20</t>
  </si>
  <si>
    <t>2,0*3,0*2</t>
  </si>
  <si>
    <t>15</t>
  </si>
  <si>
    <t>180402111R00</t>
  </si>
  <si>
    <t>Založení trávníku parkového výsevem v rovině</t>
  </si>
  <si>
    <t>400</t>
  </si>
  <si>
    <t xml:space="preserve"> V položce nejsou zakalkulovány náklady na vypletí a zalévání.</t>
  </si>
  <si>
    <t>21</t>
  </si>
  <si>
    <t>Drenáže plochy</t>
  </si>
  <si>
    <t>212750010RAB</t>
  </si>
  <si>
    <t>Trativody z drenážních trubek</t>
  </si>
  <si>
    <t>m</t>
  </si>
  <si>
    <t>21_</t>
  </si>
  <si>
    <t>2_</t>
  </si>
  <si>
    <t>40*5</t>
  </si>
  <si>
    <t>lože štěrkopísek,obsyp ,světlost trub 100mm,geotextilie</t>
  </si>
  <si>
    <t>11.3.2005 provedena oprava normy - přidán přesun hmot.</t>
  </si>
  <si>
    <t>212750010RAF</t>
  </si>
  <si>
    <t>Trativody z trubek KG 160</t>
  </si>
  <si>
    <t>30</t>
  </si>
  <si>
    <t>mezi revizníma šachtama</t>
  </si>
  <si>
    <t>40</t>
  </si>
  <si>
    <t>k vsaku</t>
  </si>
  <si>
    <t>včetně zemních prací</t>
  </si>
  <si>
    <t>212532111R00</t>
  </si>
  <si>
    <t>Lože trativodu z kameniva hrub.drceného,8-16 mm zasyp a obsyp rýh</t>
  </si>
  <si>
    <t>40*5*0,4*0,5</t>
  </si>
  <si>
    <t>s vyčištěním dna rýhy a urovnání na povrchu</t>
  </si>
  <si>
    <t>V položce jsou zakalkulovány i náklady na vyčištění dna rýh a na urovnání povrchu lože.</t>
  </si>
  <si>
    <t>19</t>
  </si>
  <si>
    <t>174101101R00</t>
  </si>
  <si>
    <t>Zásyp jam, rýh, šachet se zhutněním</t>
  </si>
  <si>
    <t>potrubí do šachty</t>
  </si>
  <si>
    <t>Položka obsahuje strojní přemístění materiálu pro zásyp ze vzdálenosti do 10 m od okraje zásypu.</t>
  </si>
  <si>
    <t>20</t>
  </si>
  <si>
    <t>998276101R00</t>
  </si>
  <si>
    <t>Přesun hmot, trubní vedení plastová, otevř. výkop</t>
  </si>
  <si>
    <t>t</t>
  </si>
  <si>
    <t>101,792</t>
  </si>
  <si>
    <t>Položka je určena pro trubní vedení (vodovod nebo kanalizace) hloubené nebo ražené z trub z plastických hmot nebo sklolaminátových včetně drobných objektů. Platnost položky je vymezena pro nejmenší skladovací plochu 50 m2 + 1,30 m2/t, pro největší dopravní vzdálenost 15 m od hrany výkopu na povrchu nebo 15 m od okraje šachty k těžišti skládek na povrchu. V případech, kdy nejsou splněny tyto podmínky použije se příplatek - 6115 až - 6119.</t>
  </si>
  <si>
    <t>27</t>
  </si>
  <si>
    <t>Základy</t>
  </si>
  <si>
    <t>275313621R00</t>
  </si>
  <si>
    <t>Beton základových patek prostý C 16/20</t>
  </si>
  <si>
    <t>27_</t>
  </si>
  <si>
    <t>patky sloupů,pouzdra</t>
  </si>
  <si>
    <t>4*1*1*1,1</t>
  </si>
  <si>
    <t>Položka obsahuje náklady na dodávku a uložení betonu do připravené konstrukce. Bednění se oceňuje samostatně.</t>
  </si>
  <si>
    <t>22</t>
  </si>
  <si>
    <t>274321321R00</t>
  </si>
  <si>
    <t>Železobeton základových pasů C 20/25</t>
  </si>
  <si>
    <t>0,3*0,8*3*2</t>
  </si>
  <si>
    <t>pasy</t>
  </si>
  <si>
    <t>1,5*0,3*0,8</t>
  </si>
  <si>
    <t>práh</t>
  </si>
  <si>
    <t>Položka obsahuje náklady na dodávku a uložení betonu do připravené konstrukce. Bednění a výztuž se oceňuje samostatně</t>
  </si>
  <si>
    <t>38</t>
  </si>
  <si>
    <t>Různé kompletní konstrukce nedělitelné do stav. dílů</t>
  </si>
  <si>
    <t>23</t>
  </si>
  <si>
    <t>381123042R00</t>
  </si>
  <si>
    <t>Montáž a dodávka -garáž monolitový výrobek 2,98x5,98x2,48</t>
  </si>
  <si>
    <t>38_</t>
  </si>
  <si>
    <t>3_</t>
  </si>
  <si>
    <t>skelet z betonu C 30/37 včetně výklopných vrat</t>
  </si>
  <si>
    <t>podlahy,el.instalaci,zásuvka,světlo,vypínač</t>
  </si>
  <si>
    <t>včetně montáže a dopravy</t>
  </si>
  <si>
    <t>56</t>
  </si>
  <si>
    <t>Podkladní vrstvy komunikací,  ploch</t>
  </si>
  <si>
    <t>24</t>
  </si>
  <si>
    <t>564751112R00</t>
  </si>
  <si>
    <t>Podklad z kameniva drceného vel.32-63 mm,tl. 15 cm</t>
  </si>
  <si>
    <t>56_</t>
  </si>
  <si>
    <t>5_</t>
  </si>
  <si>
    <t>812</t>
  </si>
  <si>
    <t>25</t>
  </si>
  <si>
    <t>564831111RT2</t>
  </si>
  <si>
    <t>Podklad ze štěrkodrti po zhutnění tloušťky 10 cm</t>
  </si>
  <si>
    <t>26</t>
  </si>
  <si>
    <t>564922104R00</t>
  </si>
  <si>
    <t>Mlatový kryt z mech.zpevněného kameniva tl. 3 cm fr.0-5</t>
  </si>
  <si>
    <t>Položka je určena pro lesní a parkové cesty.</t>
  </si>
  <si>
    <t>215901101RT5</t>
  </si>
  <si>
    <t>Zhutnění podloží z hornin nesoudržných do 92% PS</t>
  </si>
  <si>
    <t>28</t>
  </si>
  <si>
    <t>998227111R00</t>
  </si>
  <si>
    <t>Přesun hmot,umělé sportovní povrchy,kryt z dílců</t>
  </si>
  <si>
    <t>580,207</t>
  </si>
  <si>
    <t>58</t>
  </si>
  <si>
    <t>Kryty pozemních komunikací, ploch z betonu a ostatních hmot</t>
  </si>
  <si>
    <t>29</t>
  </si>
  <si>
    <t>589181331R00</t>
  </si>
  <si>
    <t>Kryt sport.ploch, umělý trávník 24, s křemičitým vsypem 15</t>
  </si>
  <si>
    <t>58_</t>
  </si>
  <si>
    <t>Položka obsahuje dodávku a montáž podkladní pásky, lepidla, umělého trávníku a zásyp křemičitým pískem.</t>
  </si>
  <si>
    <t>589651121R00</t>
  </si>
  <si>
    <t>Lajnování sportovních ploch , do š.12 cm</t>
  </si>
  <si>
    <t>150</t>
  </si>
  <si>
    <t>59</t>
  </si>
  <si>
    <t>Kryty pozemních komunikací, ploch dlážděných (předlažby)</t>
  </si>
  <si>
    <t>31</t>
  </si>
  <si>
    <t>591100020RAA</t>
  </si>
  <si>
    <t>Chodník z dlažby zámkové, podklad štěrkodrť</t>
  </si>
  <si>
    <t>59_</t>
  </si>
  <si>
    <t>2*3</t>
  </si>
  <si>
    <t>dlažba přírodní tl.60mm,bez zemních prací</t>
  </si>
  <si>
    <t>Skladba: podklad ze štěrkodrti  15 cm lože z kameniva  4 cm dlažba zámková, betonová  6 cm celkem  25 cm  Včetně zemních prací. 5.11.2015 Změna podkladu ze štěrkopísku tl.10 cm na štěrkodrť tl. 15 cm.</t>
  </si>
  <si>
    <t>32</t>
  </si>
  <si>
    <t>916561111RT2</t>
  </si>
  <si>
    <t>Osazení záhon.obrubníků do lože z C 12/15 s opěrou</t>
  </si>
  <si>
    <t>40+40+20+20+(2+2+3)*2</t>
  </si>
  <si>
    <t>včetně obrubníku 50/5/20</t>
  </si>
  <si>
    <t>33</t>
  </si>
  <si>
    <t>918101111R00</t>
  </si>
  <si>
    <t>Lože pod obrubníky nebo obruby dlažeb z C 16/20</t>
  </si>
  <si>
    <t>134*0,3*0,3</t>
  </si>
  <si>
    <t>34</t>
  </si>
  <si>
    <t>998223011R00</t>
  </si>
  <si>
    <t>Přesun hmot, pozemní komunikace, kryt dlážděný</t>
  </si>
  <si>
    <t>51,181</t>
  </si>
  <si>
    <t>767</t>
  </si>
  <si>
    <t>Konstrukce doplňkové stavební (zámečnické)</t>
  </si>
  <si>
    <t>767640020RA0</t>
  </si>
  <si>
    <t>Dveře kovové pro garáž, bílé 1x1,9 m</t>
  </si>
  <si>
    <t>767_</t>
  </si>
  <si>
    <t>76_</t>
  </si>
  <si>
    <t>87</t>
  </si>
  <si>
    <t>Drenáže</t>
  </si>
  <si>
    <t>36</t>
  </si>
  <si>
    <t>870200 R-7</t>
  </si>
  <si>
    <t>Štěrbinová drenáž včetně zásypu dle PD</t>
  </si>
  <si>
    <t>soub</t>
  </si>
  <si>
    <t>RTS II / 2022</t>
  </si>
  <si>
    <t>87_</t>
  </si>
  <si>
    <t>8_</t>
  </si>
  <si>
    <t>plocha 813,8 m2,celoplošná štěrbinová drenáž,ráhy po 220mm,hl.160mm.šíře30mm,štěrk fr.4/8</t>
  </si>
  <si>
    <t>89</t>
  </si>
  <si>
    <t>Ostatní konstrukce a práce na trubním vedení</t>
  </si>
  <si>
    <t>37</t>
  </si>
  <si>
    <t>894432112R00</t>
  </si>
  <si>
    <t>Osazení plastové šachty revizní prům.425 mm,</t>
  </si>
  <si>
    <t>89_</t>
  </si>
  <si>
    <t>Položka je určena pro osazení plastových revizních šachet, tvořených dnem z PP nebo PE se vtoky a výtoky a šachtovou rourou korugovanou (zvlněnou) na připravený podklad. Dno z PP se používá pro potrubí o průměru 110 - 200 mm, dno z PE pro potrubí 250 - 400 mm. V položce nejsou zakalkulovány náklady na dodání plastových dílců; dílce se oceňují ve specifikaci. Ztratné se nedoporučuje. Revizní šachta splňuje požadavky na odolnost pro zatížení od vozidel na vozovce, na přenos zatížení vyplývající z pohybů půdy při různém počasí a teplotě a na zachování těsnosti při dlouhodobém použití. Osazení poklopů a mříží se oceňuje samostatně položkami 899 10 - .... až 899 40 - .... části A01 tohoto ceníku.</t>
  </si>
  <si>
    <t>28695804</t>
  </si>
  <si>
    <t>Šachta  DN 400/160mm dno sběrné, B 125</t>
  </si>
  <si>
    <t>76005 Maincor Vario Standard DN 400 pro domovní přípojky  Optimální šachta z polypropylenu pro domovní přípojky s jednoduchým variabilním nastavením výšky 120-190 cm (verze standard). Jedná se o již smontovaný výrobek, který se jen výškově nastaví podle hloubky uložení přípojky. Nejedná se tedy o stavebnici jako šachet Maincor DN 200-500 ale o universální šachtu pokrývajívající 90% běžných podmínek.  Provedení dna pro hladké potrubí KG. Vylepšený přechodový límec mezi dnem a teleskopickým prodloužením UpoEasy. Pouze jeden spoj zaručuje dokonalou těsnost vůči vnitřnímu i vnějšímu tlaku do 0,5 baru.  Vtok DN 150 Dno sběrné průtočné Poklop B125 (12,5t) bez větrání Teleskopický nástavec L 300</t>
  </si>
  <si>
    <t>39</t>
  </si>
  <si>
    <t>998275101R00</t>
  </si>
  <si>
    <t>Přesun hmot, kanalizace , otevřený výkop</t>
  </si>
  <si>
    <t>5,354</t>
  </si>
  <si>
    <t>Položka je určena pro kanalizace trubní hloubené nebo ražené z trub kameninových včetně drobných objektů. Platnost položky je vymezena pro nejmenší skladovací plochu 100 m2 + 0,35 m2/t, pro největší dopravní vzdálenost 15 m od hrany výkopu na povrchu nebo 15 m od okraje šachty k těžišti skládek na povrchu. V případech, kdy nejsou splněny tyto podmínky použije se příplatek - 5115 až - 5119.</t>
  </si>
  <si>
    <t>90</t>
  </si>
  <si>
    <t>Oplocení a ochranná síť-ostatní</t>
  </si>
  <si>
    <t>900100001RA0</t>
  </si>
  <si>
    <t>Hliníková konstrukce včetně sendvičových panelů výška 1m,celkem 5m</t>
  </si>
  <si>
    <t>90_</t>
  </si>
  <si>
    <t>9_</t>
  </si>
  <si>
    <t>včetně hliníkových branek výška 2m,šíře 3m s integrovaným Al vstupem</t>
  </si>
  <si>
    <t>+polyetylenové sítě oka 45x45x4mm</t>
  </si>
  <si>
    <t>Dle ČSN EN 15312+A1 včetně certifikátu,s integrovaným Al vstupem</t>
  </si>
  <si>
    <t>41</t>
  </si>
  <si>
    <t>767841 R-8</t>
  </si>
  <si>
    <t>Montáže konstrukcí Al</t>
  </si>
  <si>
    <t>+polyetylenové sítě</t>
  </si>
  <si>
    <t>42</t>
  </si>
  <si>
    <t>998152121R00</t>
  </si>
  <si>
    <t>Přesun hmot, oplocení, zvláštní obj.</t>
  </si>
  <si>
    <t>0,529</t>
  </si>
  <si>
    <t>43</t>
  </si>
  <si>
    <t>905      R01</t>
  </si>
  <si>
    <t>Hzs-revize provoz.souboru elektro</t>
  </si>
  <si>
    <t>h</t>
  </si>
  <si>
    <t>Platnost hodinových zúčtovacích sazeb  Hodinovými zúčtovacími sazbami (HZS) se oceňují: a) předběžné obhlídky pracoviště vyžádané objednatelem, b) průzkumné práce na kulturních památkách, sloužící pro získání podkladů k rekonstrukci kulturní památky, c) revize stavebních objektů nebo jejich části, jejichž oprava se oceňuje podle stavebních ceníků, d) práce při havarijních a živelních pohromách prováděné bez projektové dokumentace nebo na základě zjednodušené projektové dokumentace bez rozpočtu, e) práce v rozsahu vymezeném v jednotlivých cenících f) práce prováděné výškovými specialisty a potápěči, g) práce zařazované do hlavy IV souhrnného rozpočtu staveb, prováděné jako součást stavebních objektů, pokud je nelze ocenit položkami stavebních ceníků.  Na základě písemné dohody mezi zhotovitele a objednatelem je možno ocenit stavební práce pomocí HZS jde-li o: a) stavební práce prováděné bez projektové dokumentace, b) práce, pro které není ve stavebních cenících položka.  Pří použití hodinových zúčtovacích sazeb se oceňuje: a) počet skutečně odpracovaných hodin všech pracovníků včetně času vynaloženého na předběžnou obhlídku pracoviště za účelem zjištění rozsahu prací, objednatelem potvrzených ve stavebním deníku, nebo samostatném dokladu, pokud se stavební deník nevede, b) přímý materiál,  c) náklady na provoz stavebních strojů, d) ostatní přímé náklady.  Počet odpracovaných hodin jednotlivých pracovníků se zaokrouhlí: a) na půlhodinu, trvá-li práce 30 minut nebo méně, b) na celou hodinu, trvá-li práce více než 30 minut.</t>
  </si>
  <si>
    <t>95</t>
  </si>
  <si>
    <t>Různé dokončovací konstrukce a práce na pozemních stavbách</t>
  </si>
  <si>
    <t>44</t>
  </si>
  <si>
    <t>95394 R-03</t>
  </si>
  <si>
    <t>Sloupky hliníkové 98x142mm včetně pouzder a krytek-volejbal,</t>
  </si>
  <si>
    <t>sada</t>
  </si>
  <si>
    <t>95_</t>
  </si>
  <si>
    <t>Dle ČSN EN 1271</t>
  </si>
  <si>
    <t>45</t>
  </si>
  <si>
    <t>95394 R-04</t>
  </si>
  <si>
    <t>Síť bílá standart s ocelovým lankem-volejbal,nohejbal,dodávka</t>
  </si>
  <si>
    <t>Položka je určena pro osazování drobných kovových předmětů jinde neuvedených (např. kotev), se zajištěním polohy k bednění či k výztuži před zabetonováním, bez dodání. Náklady na dodávky kovových předmětů se oceňují ve specifikaci. Ztratné se nestanoví.</t>
  </si>
  <si>
    <t>46</t>
  </si>
  <si>
    <t>910      R00</t>
  </si>
  <si>
    <t>Hzs - geodetické vytyčení a zaměření ,vytyčení sítí ,geometrického plánu</t>
  </si>
  <si>
    <t>47</t>
  </si>
  <si>
    <t>905      R00</t>
  </si>
  <si>
    <t>Odsouhlasení vsakovací jámy hydrogeologem</t>
  </si>
  <si>
    <t>M21</t>
  </si>
  <si>
    <t>Elektromontáže</t>
  </si>
  <si>
    <t>48</t>
  </si>
  <si>
    <t>210204011R00</t>
  </si>
  <si>
    <t>Stožár osvětlovací výklopný výška 8m ocelový dle PD</t>
  </si>
  <si>
    <t>M21_</t>
  </si>
  <si>
    <t>s montáží,kabeláží,připojením</t>
  </si>
  <si>
    <t>49</t>
  </si>
  <si>
    <t>210202111R00</t>
  </si>
  <si>
    <t>Montáž veřejného osvětlení na výložník</t>
  </si>
  <si>
    <t>50</t>
  </si>
  <si>
    <t>LED světlomet Sguare 200W s montáží</t>
  </si>
  <si>
    <t>51</t>
  </si>
  <si>
    <t>210202115R00</t>
  </si>
  <si>
    <t>LED světlomet Sguare 203W s montáží</t>
  </si>
  <si>
    <t>52</t>
  </si>
  <si>
    <t>210204105R00</t>
  </si>
  <si>
    <t>Výložník FL4/2 pro dva světlomety s montáží</t>
  </si>
  <si>
    <t>53</t>
  </si>
  <si>
    <t>210204105RS2</t>
  </si>
  <si>
    <t>Výložník SB 4X pro 4 světlomety s montáží</t>
  </si>
  <si>
    <t>54</t>
  </si>
  <si>
    <t>210204124R00</t>
  </si>
  <si>
    <t>Stožárová rozvodnice včetně montáže</t>
  </si>
  <si>
    <t>kpl</t>
  </si>
  <si>
    <t>55</t>
  </si>
  <si>
    <t>210800126R00</t>
  </si>
  <si>
    <t>Kabel CYKY 750 V 3x2,5 mm2 uvnitř stožáru</t>
  </si>
  <si>
    <t>100</t>
  </si>
  <si>
    <t>včetně dodávky kabelu</t>
  </si>
  <si>
    <t>210800138RT1</t>
  </si>
  <si>
    <t>Kabel CYKY 750 V 5 žil 5x6</t>
  </si>
  <si>
    <t>260</t>
  </si>
  <si>
    <t>přípojky od rozvaděče ke stožárům</t>
  </si>
  <si>
    <t>57</t>
  </si>
  <si>
    <t>210010006RU3</t>
  </si>
  <si>
    <t>Trubka ohebná pod omítku, vnější průměr 50 mm</t>
  </si>
  <si>
    <t>210220021RT1</t>
  </si>
  <si>
    <t>Vedení uzemňovací v zemi FeZn do 120 mm2 vč.svorek</t>
  </si>
  <si>
    <t>031002VRN</t>
  </si>
  <si>
    <t>podíl přidružených výkonů</t>
  </si>
  <si>
    <t>Soubor</t>
  </si>
  <si>
    <t>60</t>
  </si>
  <si>
    <t>045002VRN</t>
  </si>
  <si>
    <t>Přirážka na podružný materiál</t>
  </si>
  <si>
    <t>61</t>
  </si>
  <si>
    <t>065002VRN</t>
  </si>
  <si>
    <t>Přesun obecná režie doprava dodávek plus vyložení mechanizocí</t>
  </si>
  <si>
    <t>62</t>
  </si>
  <si>
    <t>650125767R00</t>
  </si>
  <si>
    <t>Uložení kabelu Cu 5 x 6 mm2 volně</t>
  </si>
  <si>
    <t>ks</t>
  </si>
  <si>
    <t>63</t>
  </si>
  <si>
    <t>210190042RU8</t>
  </si>
  <si>
    <t>Osazení a dodávka plast.rozvodnic, RO spínání ,jištění,osvětlení</t>
  </si>
  <si>
    <t>M46</t>
  </si>
  <si>
    <t>Zemní práce při montážích</t>
  </si>
  <si>
    <t>64</t>
  </si>
  <si>
    <t>460200163RT1</t>
  </si>
  <si>
    <t>Výkop kabelové rýhy 35/80 cm  hor.3</t>
  </si>
  <si>
    <t>M46_</t>
  </si>
  <si>
    <t>65</t>
  </si>
  <si>
    <t>460570163R00</t>
  </si>
  <si>
    <t>Zához rýhy 35/80 cm, hornina třídy 3, se zhutněním</t>
  </si>
  <si>
    <t>66</t>
  </si>
  <si>
    <t>460420010R00</t>
  </si>
  <si>
    <t>Zřízení kabelového lože v rýze š.do 15 cm z písku</t>
  </si>
  <si>
    <t>67</t>
  </si>
  <si>
    <t>460490012RT1</t>
  </si>
  <si>
    <t>Fólie výstražná z PVC, šířka 33 cm</t>
  </si>
  <si>
    <t>68</t>
  </si>
  <si>
    <t>569541111R00</t>
  </si>
  <si>
    <t>provizorní úprava zeminou</t>
  </si>
  <si>
    <t>150*0,35</t>
  </si>
  <si>
    <t>VORN</t>
  </si>
  <si>
    <t>Vedlejší a ostatní rozpočtové náklady</t>
  </si>
  <si>
    <t>01VRN</t>
  </si>
  <si>
    <t>Průzkumy, geodetické a projektové práce</t>
  </si>
  <si>
    <t>69</t>
  </si>
  <si>
    <t>013002VRN</t>
  </si>
  <si>
    <t>Projektové práce</t>
  </si>
  <si>
    <t>99</t>
  </si>
  <si>
    <t>01VRN_</t>
  </si>
  <si>
    <t>Â _</t>
  </si>
  <si>
    <t>Fotodokumentace prováděné stavby,dokumentace skutečného provedení va třech vyhotoveních a 1x elektronicky</t>
  </si>
  <si>
    <t>02VRN</t>
  </si>
  <si>
    <t>Příprava staveniště</t>
  </si>
  <si>
    <t>70</t>
  </si>
  <si>
    <t>021002VRN</t>
  </si>
  <si>
    <t>Zabezpečovací práce,dopravní značení</t>
  </si>
  <si>
    <t>02VRN_</t>
  </si>
  <si>
    <t>03VRN</t>
  </si>
  <si>
    <t>Zařízení staveniště</t>
  </si>
  <si>
    <t>71</t>
  </si>
  <si>
    <t>030001VRN</t>
  </si>
  <si>
    <t>03VRN_</t>
  </si>
  <si>
    <t>Celkem:</t>
  </si>
  <si>
    <t>Poznámka:</t>
  </si>
  <si>
    <t>Krycí list slepého rozpočtu</t>
  </si>
  <si>
    <t>IČO/DIČ:</t>
  </si>
  <si>
    <t>Položek:</t>
  </si>
  <si>
    <t>Datum:</t>
  </si>
  <si>
    <t>Rozpočtové náklady v Kč</t>
  </si>
  <si>
    <t>A</t>
  </si>
  <si>
    <t>Základní rozpočtové náklady</t>
  </si>
  <si>
    <t>B</t>
  </si>
  <si>
    <t>Doplňkové náklady</t>
  </si>
  <si>
    <t>C</t>
  </si>
  <si>
    <t>Náklady na umístění stavby (NUS)</t>
  </si>
  <si>
    <t>HSV</t>
  </si>
  <si>
    <t>Dodávky</t>
  </si>
  <si>
    <t>Práce přesčas</t>
  </si>
  <si>
    <t>Bez pevné podl.</t>
  </si>
  <si>
    <t>Mimostav. doprava</t>
  </si>
  <si>
    <t>PSV</t>
  </si>
  <si>
    <t>Kulturní památka</t>
  </si>
  <si>
    <t>Územní vlivy</t>
  </si>
  <si>
    <t>Provozní vlivy</t>
  </si>
  <si>
    <t>"M"</t>
  </si>
  <si>
    <t>Ostatní</t>
  </si>
  <si>
    <t>NUS z rozpočtu</t>
  </si>
  <si>
    <t>Ostatní materiál</t>
  </si>
  <si>
    <t>Přesun hmot a sutí</t>
  </si>
  <si>
    <t>ZRN celkem</t>
  </si>
  <si>
    <t>DN celkem</t>
  </si>
  <si>
    <t>NUS celkem</t>
  </si>
  <si>
    <t>DN celkem z obj.</t>
  </si>
  <si>
    <t>NUS celkem z obj.</t>
  </si>
  <si>
    <t>VORN celkem</t>
  </si>
  <si>
    <t>VORN celkem z obj.</t>
  </si>
  <si>
    <t>Základ 0%</t>
  </si>
  <si>
    <t>Základ 12%</t>
  </si>
  <si>
    <t>DPH 12%</t>
  </si>
  <si>
    <t>Celkem bez DPH</t>
  </si>
  <si>
    <t>Základ 21%</t>
  </si>
  <si>
    <t>DPH 21%</t>
  </si>
  <si>
    <t>Celkem včetně DPH</t>
  </si>
  <si>
    <t>Projektant</t>
  </si>
  <si>
    <t>Objednatel</t>
  </si>
  <si>
    <t>Zhotovitel</t>
  </si>
  <si>
    <t>Datum, razítko a podpis</t>
  </si>
  <si>
    <t>Vedlejší rozpočtové náklady VRN</t>
  </si>
  <si>
    <t>Doplňkové náklady DN</t>
  </si>
  <si>
    <t>Kč</t>
  </si>
  <si>
    <t>%</t>
  </si>
  <si>
    <t>Základna</t>
  </si>
  <si>
    <t>Celkem DN</t>
  </si>
  <si>
    <t>Celkem NUS</t>
  </si>
  <si>
    <t>Celkem VRN</t>
  </si>
  <si>
    <t>Vedlejší a ostatní rozpočtové náklady VORN</t>
  </si>
  <si>
    <t>Ostatní rozpočtové náklady (VORN)</t>
  </si>
  <si>
    <t>Inženýrské činnosti</t>
  </si>
  <si>
    <t>Finanční náklady</t>
  </si>
  <si>
    <t>Náklady na pracovníky</t>
  </si>
  <si>
    <t>Ostatní náklady</t>
  </si>
  <si>
    <t>Vlastní VORN</t>
  </si>
  <si>
    <t>Celkem VORN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</si>
</sst>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Calibri"/>
      <charset val="1"/>
    </font>
    <font>
      <sz val="18"/>
      <color rgb="FF000000"/>
      <name val="Arial"/>
      <charset val="238"/>
    </font>
    <font>
      <b/>
      <sz val="10"/>
      <color rgb="FF000000"/>
      <name val="Arial"/>
      <charset val="238"/>
    </font>
    <font>
      <sz val="10"/>
      <color rgb="FF000000"/>
      <name val="Arial"/>
      <charset val="238"/>
    </font>
    <font>
      <i/>
      <sz val="10"/>
      <color rgb="FF000000"/>
      <name val="Arial"/>
      <charset val="238"/>
    </font>
    <font>
      <i/>
      <sz val="8"/>
      <color rgb="FF000000"/>
      <name val="Arial"/>
      <charset val="238"/>
    </font>
    <font>
      <b/>
      <sz val="18"/>
      <color rgb="FF000000"/>
      <name val="Arial"/>
      <charset val="238"/>
    </font>
    <font>
      <b/>
      <sz val="20"/>
      <color rgb="FF000000"/>
      <name val="Arial"/>
      <charset val="238"/>
    </font>
    <font>
      <b/>
      <sz val="11"/>
      <color rgb="FF000000"/>
      <name val="Arial"/>
      <charset val="238"/>
    </font>
    <font>
      <b/>
      <sz val="12"/>
      <color rgb="FF000000"/>
      <name val="Arial"/>
      <charset val="238"/>
    </font>
    <font>
      <sz val="12"/>
      <color rgb="FF000000"/>
      <name val="Arial"/>
      <charset val="238"/>
    </font>
  </fonts>
  <fills count="3">
    <fill>
      <patternFill patternType="none"/>
    </fill>
    <fill>
      <patternFill patternType="gray125"/>
    </fill>
    <fill>
      <patternFill patternType="solid">
        <fgColor rgb="FFC0C0C0"/>
        <bgColor rgb="FFC0C0C0"/>
      </patternFill>
    </fill>
  </fills>
  <borders count="74">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right/>
      <top style="medium">
        <color rgb="FF000000"/>
      </top>
      <bottom/>
      <diagonal/>
    </border>
    <border>
      <left/>
      <right style="thin">
        <color rgb="FF000000"/>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style="medium">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s>
  <cellStyleXfs count="1">
    <xf numFmtId="0" fontId="0" fillId="0" borderId="0"/>
  </cellStyleXfs>
  <cellXfs count="155">
    <xf numFmtId="0" fontId="0" fillId="0" borderId="0" xfId="0"/>
    <xf numFmtId="4" fontId="2" fillId="2" borderId="0" xfId="0" applyNumberFormat="1" applyFont="1" applyFill="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8" xfId="0" applyFont="1" applyBorder="1" applyAlignment="1">
      <alignment horizontal="center" vertical="center"/>
    </xf>
    <xf numFmtId="0" fontId="2" fillId="2" borderId="0" xfId="0" applyFont="1" applyFill="1" applyAlignment="1">
      <alignment horizontal="right" vertical="center"/>
    </xf>
    <xf numFmtId="0" fontId="2" fillId="0" borderId="0" xfId="0" applyFont="1" applyAlignment="1">
      <alignment horizontal="righ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2" borderId="28" xfId="0" applyFont="1" applyFill="1" applyBorder="1" applyAlignment="1">
      <alignment horizontal="left" vertical="center"/>
    </xf>
    <xf numFmtId="0" fontId="2" fillId="2" borderId="29" xfId="0" applyFont="1" applyFill="1" applyBorder="1" applyAlignment="1">
      <alignment horizontal="left" vertical="center"/>
    </xf>
    <xf numFmtId="0" fontId="3" fillId="2" borderId="29" xfId="0" applyFont="1" applyFill="1" applyBorder="1" applyAlignment="1">
      <alignment horizontal="left" vertical="center"/>
    </xf>
    <xf numFmtId="4" fontId="2" fillId="2" borderId="29" xfId="0" applyNumberFormat="1" applyFont="1" applyFill="1" applyBorder="1" applyAlignment="1">
      <alignment horizontal="right" vertical="center"/>
    </xf>
    <xf numFmtId="0" fontId="2" fillId="2" borderId="30" xfId="0" applyFont="1" applyFill="1" applyBorder="1" applyAlignment="1">
      <alignment horizontal="right" vertical="center"/>
    </xf>
    <xf numFmtId="4" fontId="3" fillId="0" borderId="0" xfId="0" applyNumberFormat="1" applyFont="1" applyAlignment="1">
      <alignment horizontal="right" vertical="center"/>
    </xf>
    <xf numFmtId="0" fontId="3" fillId="0" borderId="6" xfId="0" applyFont="1" applyBorder="1" applyAlignment="1">
      <alignment horizontal="right" vertical="center"/>
    </xf>
    <xf numFmtId="0" fontId="3" fillId="0" borderId="0" xfId="0" applyFont="1" applyAlignment="1">
      <alignment horizontal="right" vertical="center"/>
    </xf>
    <xf numFmtId="0" fontId="0" fillId="0" borderId="5" xfId="0" applyBorder="1"/>
    <xf numFmtId="0" fontId="4" fillId="0" borderId="0" xfId="0" applyFont="1" applyAlignment="1">
      <alignment horizontal="left" vertical="center"/>
    </xf>
    <xf numFmtId="4" fontId="4" fillId="0" borderId="0" xfId="0" applyNumberFormat="1" applyFont="1" applyAlignment="1">
      <alignment horizontal="right" vertical="center"/>
    </xf>
    <xf numFmtId="0" fontId="0" fillId="0" borderId="6" xfId="0" applyBorder="1"/>
    <xf numFmtId="0" fontId="4" fillId="0" borderId="0" xfId="0" applyFont="1" applyAlignment="1">
      <alignment horizontal="right" vertical="center"/>
    </xf>
    <xf numFmtId="0" fontId="4" fillId="0" borderId="0" xfId="0" applyFont="1" applyAlignment="1">
      <alignment horizontal="left" vertical="center" wrapText="1"/>
    </xf>
    <xf numFmtId="0" fontId="3" fillId="2" borderId="5" xfId="0" applyFont="1" applyFill="1" applyBorder="1" applyAlignment="1">
      <alignment horizontal="left"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2" fillId="2" borderId="6" xfId="0" applyFont="1" applyFill="1" applyBorder="1" applyAlignment="1">
      <alignment horizontal="right" vertical="center"/>
    </xf>
    <xf numFmtId="0" fontId="0" fillId="0" borderId="31" xfId="0" applyBorder="1"/>
    <xf numFmtId="0" fontId="0" fillId="0" borderId="32" xfId="0" applyBorder="1"/>
    <xf numFmtId="0" fontId="4" fillId="0" borderId="32" xfId="0" applyFont="1" applyBorder="1" applyAlignment="1">
      <alignment horizontal="left" vertical="center"/>
    </xf>
    <xf numFmtId="4" fontId="4" fillId="0" borderId="32" xfId="0" applyNumberFormat="1" applyFont="1" applyBorder="1" applyAlignment="1">
      <alignment horizontal="right" vertical="center"/>
    </xf>
    <xf numFmtId="0" fontId="0" fillId="0" borderId="33" xfId="0" applyBorder="1"/>
    <xf numFmtId="4" fontId="2" fillId="0" borderId="34" xfId="0" applyNumberFormat="1" applyFont="1" applyBorder="1" applyAlignment="1">
      <alignment horizontal="right" vertical="center"/>
    </xf>
    <xf numFmtId="0" fontId="5" fillId="0" borderId="0" xfId="0" applyFont="1" applyAlignment="1">
      <alignment horizontal="left" vertical="center"/>
    </xf>
    <xf numFmtId="0" fontId="7" fillId="2" borderId="36" xfId="0" applyFont="1" applyFill="1" applyBorder="1" applyAlignment="1">
      <alignment horizontal="center" vertical="center"/>
    </xf>
    <xf numFmtId="0" fontId="7" fillId="2" borderId="39" xfId="0" applyFont="1" applyFill="1" applyBorder="1" applyAlignment="1">
      <alignment horizontal="center" vertical="center"/>
    </xf>
    <xf numFmtId="0" fontId="9" fillId="0" borderId="40" xfId="0" applyFont="1" applyBorder="1" applyAlignment="1">
      <alignment horizontal="left" vertical="center"/>
    </xf>
    <xf numFmtId="0" fontId="10" fillId="0" borderId="41" xfId="0" applyFont="1" applyBorder="1" applyAlignment="1">
      <alignment horizontal="left" vertical="center"/>
    </xf>
    <xf numFmtId="4" fontId="10" fillId="0" borderId="41" xfId="0" applyNumberFormat="1" applyFont="1" applyBorder="1" applyAlignment="1">
      <alignment horizontal="right" vertical="center"/>
    </xf>
    <xf numFmtId="0" fontId="10" fillId="0" borderId="41" xfId="0" applyFont="1" applyBorder="1" applyAlignment="1">
      <alignment horizontal="right" vertical="center"/>
    </xf>
    <xf numFmtId="0" fontId="9" fillId="0" borderId="44" xfId="0" applyFont="1" applyBorder="1" applyAlignment="1">
      <alignment horizontal="left" vertical="center"/>
    </xf>
    <xf numFmtId="4" fontId="10" fillId="0" borderId="48" xfId="0" applyNumberFormat="1" applyFont="1" applyBorder="1" applyAlignment="1">
      <alignment horizontal="right" vertical="center"/>
    </xf>
    <xf numFmtId="0" fontId="10" fillId="0" borderId="48" xfId="0" applyFont="1" applyBorder="1" applyAlignment="1">
      <alignment horizontal="right" vertical="center"/>
    </xf>
    <xf numFmtId="4" fontId="10" fillId="0" borderId="39" xfId="0" applyNumberFormat="1" applyFont="1" applyBorder="1" applyAlignment="1">
      <alignment horizontal="right" vertical="center"/>
    </xf>
    <xf numFmtId="4" fontId="10" fillId="0" borderId="25" xfId="0" applyNumberFormat="1" applyFont="1" applyBorder="1" applyAlignment="1">
      <alignment horizontal="right" vertical="center"/>
    </xf>
    <xf numFmtId="4" fontId="9" fillId="2" borderId="38" xfId="0" applyNumberFormat="1" applyFont="1" applyFill="1" applyBorder="1" applyAlignment="1">
      <alignment horizontal="right" vertical="center"/>
    </xf>
    <xf numFmtId="4" fontId="9" fillId="2" borderId="43" xfId="0" applyNumberFormat="1" applyFont="1" applyFill="1" applyBorder="1" applyAlignment="1">
      <alignment horizontal="right" vertical="center"/>
    </xf>
    <xf numFmtId="0" fontId="5" fillId="0" borderId="29" xfId="0" applyFont="1" applyBorder="1" applyAlignment="1">
      <alignment horizontal="left" vertical="center"/>
    </xf>
    <xf numFmtId="0" fontId="2" fillId="0" borderId="64" xfId="0" applyFont="1" applyBorder="1" applyAlignment="1">
      <alignment horizontal="right" vertical="center"/>
    </xf>
    <xf numFmtId="4" fontId="3" fillId="0" borderId="41" xfId="0" applyNumberFormat="1" applyFont="1" applyBorder="1" applyAlignment="1">
      <alignment horizontal="right" vertical="center"/>
    </xf>
    <xf numFmtId="0" fontId="3" fillId="0" borderId="41" xfId="0" applyFont="1" applyBorder="1" applyAlignment="1">
      <alignment horizontal="left" vertical="center"/>
    </xf>
    <xf numFmtId="4" fontId="3" fillId="0" borderId="68" xfId="0" applyNumberFormat="1" applyFont="1" applyBorder="1" applyAlignment="1">
      <alignment horizontal="right" vertical="center"/>
    </xf>
    <xf numFmtId="0" fontId="3" fillId="0" borderId="68" xfId="0" applyFont="1" applyBorder="1" applyAlignment="1">
      <alignment horizontal="left" vertical="center"/>
    </xf>
    <xf numFmtId="0" fontId="2" fillId="0" borderId="72" xfId="0" applyFont="1" applyBorder="1" applyAlignment="1">
      <alignment horizontal="left" vertical="center"/>
    </xf>
    <xf numFmtId="0" fontId="2" fillId="0" borderId="72" xfId="0" applyFont="1" applyBorder="1" applyAlignment="1">
      <alignment horizontal="right" vertical="center"/>
    </xf>
    <xf numFmtId="4" fontId="2" fillId="0" borderId="72" xfId="0" applyNumberFormat="1" applyFont="1" applyBorder="1" applyAlignment="1">
      <alignment horizontal="right" vertical="center"/>
    </xf>
    <xf numFmtId="0" fontId="1"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0" xfId="0" applyFont="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2" borderId="29" xfId="0" applyFont="1" applyFill="1" applyBorder="1" applyAlignment="1">
      <alignment horizontal="left" vertical="center" wrapText="1"/>
    </xf>
    <xf numFmtId="0" fontId="2" fillId="2" borderId="29" xfId="0" applyFont="1" applyFill="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6" xfId="0" applyFont="1" applyBorder="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2" fillId="0" borderId="34" xfId="0" applyFont="1" applyBorder="1" applyAlignment="1">
      <alignment horizontal="left" vertical="center"/>
    </xf>
    <xf numFmtId="0" fontId="1" fillId="0" borderId="1" xfId="0" applyFont="1" applyBorder="1" applyAlignment="1">
      <alignment horizontal="center" vertical="center" wrapText="1"/>
    </xf>
    <xf numFmtId="0" fontId="3" fillId="0" borderId="31" xfId="0" applyFont="1" applyBorder="1" applyAlignment="1">
      <alignment horizontal="left" vertical="center"/>
    </xf>
    <xf numFmtId="0" fontId="3" fillId="0" borderId="32" xfId="0" applyFont="1" applyBorder="1" applyAlignment="1">
      <alignment horizontal="left" vertical="center"/>
    </xf>
    <xf numFmtId="1" fontId="3" fillId="0" borderId="6" xfId="0" applyNumberFormat="1" applyFont="1" applyBorder="1" applyAlignment="1">
      <alignment horizontal="left" vertical="center"/>
    </xf>
    <xf numFmtId="0" fontId="3" fillId="0" borderId="6" xfId="0" applyFont="1" applyBorder="1" applyAlignment="1">
      <alignment horizontal="left" vertical="center" wrapText="1"/>
    </xf>
    <xf numFmtId="0" fontId="3" fillId="0" borderId="33" xfId="0" applyFont="1" applyBorder="1" applyAlignment="1">
      <alignment horizontal="left" vertical="center"/>
    </xf>
    <xf numFmtId="0" fontId="6" fillId="0" borderId="35" xfId="0" applyFont="1" applyBorder="1" applyAlignment="1">
      <alignment horizontal="center" vertical="center"/>
    </xf>
    <xf numFmtId="0" fontId="8" fillId="0" borderId="37" xfId="0" applyFont="1" applyBorder="1" applyAlignment="1">
      <alignment horizontal="left" vertical="center"/>
    </xf>
    <xf numFmtId="0" fontId="8" fillId="0" borderId="38" xfId="0" applyFont="1" applyBorder="1" applyAlignment="1">
      <alignment horizontal="left" vertical="center"/>
    </xf>
    <xf numFmtId="0" fontId="9" fillId="0" borderId="45" xfId="0" applyFont="1" applyBorder="1" applyAlignment="1">
      <alignment horizontal="left" vertical="center"/>
    </xf>
    <xf numFmtId="0" fontId="9" fillId="0" borderId="43" xfId="0" applyFont="1" applyBorder="1" applyAlignment="1">
      <alignment horizontal="left" vertical="center"/>
    </xf>
    <xf numFmtId="0" fontId="9" fillId="0" borderId="46" xfId="0" applyFont="1" applyBorder="1" applyAlignment="1">
      <alignment horizontal="left" vertical="center"/>
    </xf>
    <xf numFmtId="0" fontId="9" fillId="0" borderId="47" xfId="0" applyFont="1" applyBorder="1" applyAlignment="1">
      <alignment horizontal="left" vertical="center"/>
    </xf>
    <xf numFmtId="0" fontId="9" fillId="0" borderId="50" xfId="0" applyFont="1" applyBorder="1" applyAlignment="1">
      <alignment horizontal="left" vertical="center"/>
    </xf>
    <xf numFmtId="0" fontId="9" fillId="0" borderId="38" xfId="0" applyFont="1" applyBorder="1" applyAlignment="1">
      <alignment horizontal="left" vertical="center"/>
    </xf>
    <xf numFmtId="0" fontId="10" fillId="0" borderId="42" xfId="0" applyFont="1" applyBorder="1" applyAlignment="1">
      <alignment horizontal="left" vertical="center"/>
    </xf>
    <xf numFmtId="0" fontId="10" fillId="0" borderId="43" xfId="0" applyFont="1" applyBorder="1" applyAlignment="1">
      <alignment horizontal="left" vertical="center"/>
    </xf>
    <xf numFmtId="0" fontId="10" fillId="0" borderId="49" xfId="0" applyFont="1" applyBorder="1" applyAlignment="1">
      <alignment horizontal="left" vertical="center"/>
    </xf>
    <xf numFmtId="0" fontId="10" fillId="0" borderId="47" xfId="0" applyFont="1" applyBorder="1" applyAlignment="1">
      <alignment horizontal="left" vertical="center"/>
    </xf>
    <xf numFmtId="0" fontId="9" fillId="0" borderId="37" xfId="0" applyFont="1" applyBorder="1" applyAlignment="1">
      <alignment horizontal="left" vertical="center"/>
    </xf>
    <xf numFmtId="0" fontId="9" fillId="0" borderId="42" xfId="0" applyFont="1" applyBorder="1" applyAlignment="1">
      <alignment horizontal="left" vertical="center"/>
    </xf>
    <xf numFmtId="0" fontId="9" fillId="2" borderId="50" xfId="0" applyFont="1" applyFill="1" applyBorder="1" applyAlignment="1">
      <alignment horizontal="left" vertical="center"/>
    </xf>
    <xf numFmtId="0" fontId="9" fillId="2" borderId="51" xfId="0" applyFont="1" applyFill="1" applyBorder="1" applyAlignment="1">
      <alignment horizontal="left" vertical="center"/>
    </xf>
    <xf numFmtId="0" fontId="9" fillId="2" borderId="45" xfId="0" applyFont="1" applyFill="1" applyBorder="1" applyAlignment="1">
      <alignment horizontal="left" vertical="center"/>
    </xf>
    <xf numFmtId="0" fontId="9" fillId="2" borderId="52" xfId="0" applyFont="1" applyFill="1" applyBorder="1" applyAlignment="1">
      <alignment horizontal="left" vertical="center"/>
    </xf>
    <xf numFmtId="0" fontId="9" fillId="2" borderId="37" xfId="0" applyFont="1" applyFill="1" applyBorder="1" applyAlignment="1">
      <alignment horizontal="left" vertical="center"/>
    </xf>
    <xf numFmtId="0" fontId="9" fillId="2" borderId="42" xfId="0" applyFont="1" applyFill="1" applyBorder="1" applyAlignment="1">
      <alignment horizontal="left" vertical="center"/>
    </xf>
    <xf numFmtId="0" fontId="10" fillId="0" borderId="53" xfId="0" applyFont="1" applyBorder="1" applyAlignment="1">
      <alignment horizontal="left" vertical="center"/>
    </xf>
    <xf numFmtId="0" fontId="10" fillId="0" borderId="54" xfId="0" applyFont="1" applyBorder="1" applyAlignment="1">
      <alignment horizontal="left" vertical="center"/>
    </xf>
    <xf numFmtId="0" fontId="10" fillId="0" borderId="55" xfId="0" applyFont="1" applyBorder="1" applyAlignment="1">
      <alignment horizontal="left" vertical="center"/>
    </xf>
    <xf numFmtId="0" fontId="10" fillId="0" borderId="57" xfId="0" applyFont="1" applyBorder="1" applyAlignment="1">
      <alignment horizontal="left" vertical="center"/>
    </xf>
    <xf numFmtId="0" fontId="10" fillId="0" borderId="0" xfId="0" applyFont="1" applyAlignment="1">
      <alignment horizontal="left" vertical="center"/>
    </xf>
    <xf numFmtId="0" fontId="10" fillId="0" borderId="58" xfId="0" applyFont="1" applyBorder="1" applyAlignment="1">
      <alignment horizontal="left" vertical="center"/>
    </xf>
    <xf numFmtId="0" fontId="10" fillId="0" borderId="60" xfId="0" applyFont="1" applyBorder="1" applyAlignment="1">
      <alignment horizontal="left" vertical="center"/>
    </xf>
    <xf numFmtId="0" fontId="10" fillId="0" borderId="61" xfId="0" applyFont="1" applyBorder="1" applyAlignment="1">
      <alignment horizontal="left" vertical="center"/>
    </xf>
    <xf numFmtId="0" fontId="10" fillId="0" borderId="62" xfId="0" applyFont="1" applyBorder="1" applyAlignment="1">
      <alignment horizontal="left" vertical="center"/>
    </xf>
    <xf numFmtId="0" fontId="10" fillId="0" borderId="56" xfId="0" applyFont="1" applyBorder="1" applyAlignment="1">
      <alignment horizontal="left" vertical="center"/>
    </xf>
    <xf numFmtId="0" fontId="10" fillId="0" borderId="59" xfId="0" applyFont="1" applyBorder="1" applyAlignment="1">
      <alignment horizontal="left" vertical="center"/>
    </xf>
    <xf numFmtId="0" fontId="10" fillId="0" borderId="63" xfId="0" applyFont="1" applyBorder="1" applyAlignment="1">
      <alignment horizontal="left" vertical="center"/>
    </xf>
    <xf numFmtId="0" fontId="9"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3" fillId="0" borderId="45" xfId="0" applyFont="1" applyBorder="1" applyAlignment="1">
      <alignment horizontal="left" vertical="center"/>
    </xf>
    <xf numFmtId="0" fontId="3" fillId="0" borderId="52" xfId="0" applyFont="1" applyBorder="1" applyAlignment="1">
      <alignment horizontal="left" vertical="center"/>
    </xf>
    <xf numFmtId="0" fontId="3" fillId="0" borderId="43" xfId="0" applyFont="1" applyBorder="1" applyAlignment="1">
      <alignment horizontal="left" vertical="center"/>
    </xf>
    <xf numFmtId="0" fontId="3" fillId="0" borderId="65" xfId="0" applyFont="1" applyBorder="1" applyAlignment="1">
      <alignment horizontal="left" vertical="center"/>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2" fillId="0" borderId="69" xfId="0" applyFont="1" applyBorder="1" applyAlignment="1">
      <alignment horizontal="left" vertical="center"/>
    </xf>
    <xf numFmtId="0" fontId="2" fillId="0" borderId="70" xfId="0" applyFont="1" applyBorder="1" applyAlignment="1">
      <alignment horizontal="left" vertical="center"/>
    </xf>
    <xf numFmtId="0" fontId="2" fillId="0" borderId="71" xfId="0" applyFont="1" applyBorder="1" applyAlignment="1">
      <alignment horizontal="left" vertical="center"/>
    </xf>
    <xf numFmtId="0" fontId="9" fillId="0" borderId="69" xfId="0" applyFont="1" applyBorder="1" applyAlignment="1">
      <alignment horizontal="left" vertical="center"/>
    </xf>
    <xf numFmtId="0" fontId="9" fillId="0" borderId="70" xfId="0" applyFont="1" applyBorder="1" applyAlignment="1">
      <alignment horizontal="left" vertical="center"/>
    </xf>
    <xf numFmtId="0" fontId="9" fillId="0" borderId="71" xfId="0" applyFont="1" applyBorder="1" applyAlignment="1">
      <alignment horizontal="left" vertical="center"/>
    </xf>
    <xf numFmtId="4" fontId="9" fillId="0" borderId="73" xfId="0" applyNumberFormat="1" applyFont="1" applyBorder="1" applyAlignment="1">
      <alignment horizontal="right" vertical="center"/>
    </xf>
    <xf numFmtId="0" fontId="9" fillId="0" borderId="70" xfId="0" applyFont="1" applyBorder="1" applyAlignment="1">
      <alignment horizontal="right" vertical="center"/>
    </xf>
    <xf numFmtId="0" fontId="9" fillId="0" borderId="71" xfId="0" applyFont="1" applyBorder="1" applyAlignment="1">
      <alignment horizontal="right"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230"/>
  <sheetViews>
    <sheetView tabSelected="1" workbookViewId="0">
      <pane ySplit="11" topLeftCell="A12" activePane="bottomLeft" state="frozen"/>
      <selection pane="bottomLeft" activeCell="A230" sqref="A230:K230"/>
    </sheetView>
  </sheetViews>
  <sheetFormatPr defaultColWidth="12.140625" defaultRowHeight="15" customHeight="1" x14ac:dyDescent="0.25"/>
  <cols>
    <col min="1" max="1" width="4" customWidth="1"/>
    <col min="2" max="2" width="17.85546875" customWidth="1"/>
    <col min="3" max="3" width="28.5703125" customWidth="1"/>
    <col min="4" max="4" width="35.7109375" customWidth="1"/>
    <col min="5" max="5" width="6.7109375" customWidth="1"/>
    <col min="6" max="6" width="12.85546875" customWidth="1"/>
    <col min="7" max="7" width="12" customWidth="1"/>
    <col min="8" max="10" width="15.7109375" customWidth="1"/>
    <col min="11" max="11" width="13.42578125" customWidth="1"/>
    <col min="25" max="75" width="12.140625" hidden="1"/>
    <col min="76" max="76" width="64.28515625" hidden="1" customWidth="1"/>
    <col min="77" max="78" width="12.140625" hidden="1"/>
  </cols>
  <sheetData>
    <row r="1" spans="1:76" ht="54.75" customHeight="1" x14ac:dyDescent="0.25">
      <c r="A1" s="66" t="s">
        <v>0</v>
      </c>
      <c r="B1" s="66"/>
      <c r="C1" s="66"/>
      <c r="D1" s="66"/>
      <c r="E1" s="66"/>
      <c r="F1" s="66"/>
      <c r="G1" s="66"/>
      <c r="H1" s="66"/>
      <c r="I1" s="66"/>
      <c r="J1" s="66"/>
      <c r="K1" s="66"/>
      <c r="AS1" s="1">
        <f>SUM(AJ1:AJ2)</f>
        <v>0</v>
      </c>
      <c r="AT1" s="1">
        <f>SUM(AK1:AK2)</f>
        <v>0</v>
      </c>
      <c r="AU1" s="1">
        <f>SUM(AL1:AL2)</f>
        <v>0</v>
      </c>
    </row>
    <row r="2" spans="1:76" x14ac:dyDescent="0.25">
      <c r="A2" s="67" t="s">
        <v>1</v>
      </c>
      <c r="B2" s="68"/>
      <c r="C2" s="76" t="s">
        <v>2</v>
      </c>
      <c r="D2" s="77"/>
      <c r="E2" s="68" t="s">
        <v>3</v>
      </c>
      <c r="F2" s="68"/>
      <c r="G2" s="68" t="s">
        <v>4</v>
      </c>
      <c r="H2" s="74" t="s">
        <v>5</v>
      </c>
      <c r="I2" s="74" t="s">
        <v>6</v>
      </c>
      <c r="J2" s="68"/>
      <c r="K2" s="79"/>
    </row>
    <row r="3" spans="1:76" x14ac:dyDescent="0.25">
      <c r="A3" s="69"/>
      <c r="B3" s="70"/>
      <c r="C3" s="78"/>
      <c r="D3" s="78"/>
      <c r="E3" s="70"/>
      <c r="F3" s="70"/>
      <c r="G3" s="70"/>
      <c r="H3" s="70"/>
      <c r="I3" s="70"/>
      <c r="J3" s="70"/>
      <c r="K3" s="80"/>
    </row>
    <row r="4" spans="1:76" x14ac:dyDescent="0.25">
      <c r="A4" s="71" t="s">
        <v>7</v>
      </c>
      <c r="B4" s="70"/>
      <c r="C4" s="75" t="s">
        <v>8</v>
      </c>
      <c r="D4" s="70"/>
      <c r="E4" s="70" t="s">
        <v>9</v>
      </c>
      <c r="F4" s="70"/>
      <c r="G4" s="70" t="s">
        <v>4</v>
      </c>
      <c r="H4" s="75" t="s">
        <v>10</v>
      </c>
      <c r="I4" s="75" t="s">
        <v>11</v>
      </c>
      <c r="J4" s="70"/>
      <c r="K4" s="80"/>
    </row>
    <row r="5" spans="1:76" x14ac:dyDescent="0.25">
      <c r="A5" s="69"/>
      <c r="B5" s="70"/>
      <c r="C5" s="70"/>
      <c r="D5" s="70"/>
      <c r="E5" s="70"/>
      <c r="F5" s="70"/>
      <c r="G5" s="70"/>
      <c r="H5" s="70"/>
      <c r="I5" s="70"/>
      <c r="J5" s="70"/>
      <c r="K5" s="80"/>
    </row>
    <row r="6" spans="1:76" x14ac:dyDescent="0.25">
      <c r="A6" s="71" t="s">
        <v>12</v>
      </c>
      <c r="B6" s="70"/>
      <c r="C6" s="75" t="s">
        <v>13</v>
      </c>
      <c r="D6" s="70"/>
      <c r="E6" s="70" t="s">
        <v>14</v>
      </c>
      <c r="F6" s="70"/>
      <c r="G6" s="70" t="s">
        <v>4</v>
      </c>
      <c r="H6" s="75" t="s">
        <v>15</v>
      </c>
      <c r="I6" s="75" t="s">
        <v>16</v>
      </c>
      <c r="J6" s="70"/>
      <c r="K6" s="80"/>
    </row>
    <row r="7" spans="1:76" x14ac:dyDescent="0.25">
      <c r="A7" s="69"/>
      <c r="B7" s="70"/>
      <c r="C7" s="70"/>
      <c r="D7" s="70"/>
      <c r="E7" s="70"/>
      <c r="F7" s="70"/>
      <c r="G7" s="70"/>
      <c r="H7" s="70"/>
      <c r="I7" s="70"/>
      <c r="J7" s="70"/>
      <c r="K7" s="80"/>
    </row>
    <row r="8" spans="1:76" x14ac:dyDescent="0.25">
      <c r="A8" s="71" t="s">
        <v>17</v>
      </c>
      <c r="B8" s="70"/>
      <c r="C8" s="75" t="s">
        <v>4</v>
      </c>
      <c r="D8" s="70"/>
      <c r="E8" s="70" t="s">
        <v>18</v>
      </c>
      <c r="F8" s="70"/>
      <c r="G8" s="70" t="s">
        <v>19</v>
      </c>
      <c r="H8" s="75" t="s">
        <v>20</v>
      </c>
      <c r="I8" s="75" t="s">
        <v>21</v>
      </c>
      <c r="J8" s="70"/>
      <c r="K8" s="80"/>
    </row>
    <row r="9" spans="1:76" x14ac:dyDescent="0.25">
      <c r="A9" s="72"/>
      <c r="B9" s="73"/>
      <c r="C9" s="73"/>
      <c r="D9" s="73"/>
      <c r="E9" s="73"/>
      <c r="F9" s="73"/>
      <c r="G9" s="73"/>
      <c r="H9" s="73"/>
      <c r="I9" s="73"/>
      <c r="J9" s="73"/>
      <c r="K9" s="81"/>
    </row>
    <row r="10" spans="1:76" x14ac:dyDescent="0.25">
      <c r="A10" s="5" t="s">
        <v>22</v>
      </c>
      <c r="B10" s="6" t="s">
        <v>23</v>
      </c>
      <c r="C10" s="82" t="s">
        <v>24</v>
      </c>
      <c r="D10" s="83"/>
      <c r="E10" s="6" t="s">
        <v>25</v>
      </c>
      <c r="F10" s="7" t="s">
        <v>26</v>
      </c>
      <c r="G10" s="8" t="s">
        <v>27</v>
      </c>
      <c r="H10" s="86" t="s">
        <v>28</v>
      </c>
      <c r="I10" s="87"/>
      <c r="J10" s="88"/>
      <c r="K10" s="9" t="s">
        <v>29</v>
      </c>
      <c r="BK10" s="10" t="s">
        <v>30</v>
      </c>
      <c r="BL10" s="11" t="s">
        <v>31</v>
      </c>
      <c r="BW10" s="11" t="s">
        <v>32</v>
      </c>
    </row>
    <row r="11" spans="1:76" x14ac:dyDescent="0.25">
      <c r="A11" s="12" t="s">
        <v>4</v>
      </c>
      <c r="B11" s="13" t="s">
        <v>4</v>
      </c>
      <c r="C11" s="84" t="s">
        <v>33</v>
      </c>
      <c r="D11" s="85"/>
      <c r="E11" s="13" t="s">
        <v>4</v>
      </c>
      <c r="F11" s="13" t="s">
        <v>4</v>
      </c>
      <c r="G11" s="14" t="s">
        <v>34</v>
      </c>
      <c r="H11" s="15" t="s">
        <v>35</v>
      </c>
      <c r="I11" s="16" t="s">
        <v>36</v>
      </c>
      <c r="J11" s="17" t="s">
        <v>37</v>
      </c>
      <c r="K11" s="18" t="s">
        <v>38</v>
      </c>
      <c r="Z11" s="10" t="s">
        <v>39</v>
      </c>
      <c r="AA11" s="10" t="s">
        <v>40</v>
      </c>
      <c r="AB11" s="10" t="s">
        <v>41</v>
      </c>
      <c r="AC11" s="10" t="s">
        <v>42</v>
      </c>
      <c r="AD11" s="10" t="s">
        <v>43</v>
      </c>
      <c r="AE11" s="10" t="s">
        <v>44</v>
      </c>
      <c r="AF11" s="10" t="s">
        <v>45</v>
      </c>
      <c r="AG11" s="10" t="s">
        <v>46</v>
      </c>
      <c r="AH11" s="10" t="s">
        <v>47</v>
      </c>
      <c r="BH11" s="10" t="s">
        <v>48</v>
      </c>
      <c r="BI11" s="10" t="s">
        <v>49</v>
      </c>
      <c r="BJ11" s="10" t="s">
        <v>50</v>
      </c>
    </row>
    <row r="12" spans="1:76" x14ac:dyDescent="0.25">
      <c r="A12" s="19" t="s">
        <v>51</v>
      </c>
      <c r="B12" s="20" t="s">
        <v>52</v>
      </c>
      <c r="C12" s="89" t="s">
        <v>53</v>
      </c>
      <c r="D12" s="90"/>
      <c r="E12" s="21" t="s">
        <v>4</v>
      </c>
      <c r="F12" s="21" t="s">
        <v>4</v>
      </c>
      <c r="G12" s="21" t="s">
        <v>4</v>
      </c>
      <c r="H12" s="22">
        <f>SUM(H13:H16)</f>
        <v>0</v>
      </c>
      <c r="I12" s="22">
        <f>SUM(I13:I16)</f>
        <v>0</v>
      </c>
      <c r="J12" s="22">
        <f>SUM(J13:J16)</f>
        <v>0</v>
      </c>
      <c r="K12" s="23" t="s">
        <v>51</v>
      </c>
      <c r="AI12" s="10" t="s">
        <v>51</v>
      </c>
      <c r="AS12" s="1">
        <f>SUM(AJ13:AJ16)</f>
        <v>0</v>
      </c>
      <c r="AT12" s="1">
        <f>SUM(AK13:AK16)</f>
        <v>0</v>
      </c>
      <c r="AU12" s="1">
        <f>SUM(AL13:AL16)</f>
        <v>0</v>
      </c>
    </row>
    <row r="13" spans="1:76" x14ac:dyDescent="0.25">
      <c r="A13" s="2" t="s">
        <v>54</v>
      </c>
      <c r="B13" s="3" t="s">
        <v>55</v>
      </c>
      <c r="C13" s="75" t="s">
        <v>56</v>
      </c>
      <c r="D13" s="70"/>
      <c r="E13" s="3" t="s">
        <v>57</v>
      </c>
      <c r="F13" s="24">
        <v>1</v>
      </c>
      <c r="G13" s="24">
        <v>0</v>
      </c>
      <c r="H13" s="24">
        <f>ROUND(F13*AO13,2)</f>
        <v>0</v>
      </c>
      <c r="I13" s="24">
        <f>ROUND(F13*AP13,2)</f>
        <v>0</v>
      </c>
      <c r="J13" s="24">
        <f>ROUND(F13*G13,2)</f>
        <v>0</v>
      </c>
      <c r="K13" s="25" t="s">
        <v>58</v>
      </c>
      <c r="Z13" s="24">
        <f>ROUND(IF(AQ13="5",BJ13,0),2)</f>
        <v>0</v>
      </c>
      <c r="AB13" s="24">
        <f>ROUND(IF(AQ13="1",BH13,0),2)</f>
        <v>0</v>
      </c>
      <c r="AC13" s="24">
        <f>ROUND(IF(AQ13="1",BI13,0),2)</f>
        <v>0</v>
      </c>
      <c r="AD13" s="24">
        <f>ROUND(IF(AQ13="7",BH13,0),2)</f>
        <v>0</v>
      </c>
      <c r="AE13" s="24">
        <f>ROUND(IF(AQ13="7",BI13,0),2)</f>
        <v>0</v>
      </c>
      <c r="AF13" s="24">
        <f>ROUND(IF(AQ13="2",BH13,0),2)</f>
        <v>0</v>
      </c>
      <c r="AG13" s="24">
        <f>ROUND(IF(AQ13="2",BI13,0),2)</f>
        <v>0</v>
      </c>
      <c r="AH13" s="24">
        <f>ROUND(IF(AQ13="0",BJ13,0),2)</f>
        <v>0</v>
      </c>
      <c r="AI13" s="10" t="s">
        <v>51</v>
      </c>
      <c r="AJ13" s="24">
        <f>IF(AN13=0,J13,0)</f>
        <v>0</v>
      </c>
      <c r="AK13" s="24">
        <f>IF(AN13=12,J13,0)</f>
        <v>0</v>
      </c>
      <c r="AL13" s="24">
        <f>IF(AN13=21,J13,0)</f>
        <v>0</v>
      </c>
      <c r="AN13" s="24">
        <v>21</v>
      </c>
      <c r="AO13" s="24">
        <f>G13*0</f>
        <v>0</v>
      </c>
      <c r="AP13" s="24">
        <f>G13*(1-0)</f>
        <v>0</v>
      </c>
      <c r="AQ13" s="26" t="s">
        <v>54</v>
      </c>
      <c r="AV13" s="24">
        <f>ROUND(AW13+AX13,2)</f>
        <v>0</v>
      </c>
      <c r="AW13" s="24">
        <f>ROUND(F13*AO13,2)</f>
        <v>0</v>
      </c>
      <c r="AX13" s="24">
        <f>ROUND(F13*AP13,2)</f>
        <v>0</v>
      </c>
      <c r="AY13" s="26" t="s">
        <v>59</v>
      </c>
      <c r="AZ13" s="26" t="s">
        <v>60</v>
      </c>
      <c r="BA13" s="10" t="s">
        <v>61</v>
      </c>
      <c r="BC13" s="24">
        <f>AW13+AX13</f>
        <v>0</v>
      </c>
      <c r="BD13" s="24">
        <f>G13/(100-BE13)*100</f>
        <v>0</v>
      </c>
      <c r="BE13" s="24">
        <v>0</v>
      </c>
      <c r="BF13" s="24">
        <f>13</f>
        <v>13</v>
      </c>
      <c r="BH13" s="24">
        <f>F13*AO13</f>
        <v>0</v>
      </c>
      <c r="BI13" s="24">
        <f>F13*AP13</f>
        <v>0</v>
      </c>
      <c r="BJ13" s="24">
        <f>F13*G13</f>
        <v>0</v>
      </c>
      <c r="BK13" s="24"/>
      <c r="BL13" s="24">
        <v>11</v>
      </c>
      <c r="BW13" s="24">
        <v>21</v>
      </c>
      <c r="BX13" s="4" t="s">
        <v>56</v>
      </c>
    </row>
    <row r="14" spans="1:76" x14ac:dyDescent="0.25">
      <c r="A14" s="27"/>
      <c r="C14" s="28" t="s">
        <v>54</v>
      </c>
      <c r="D14" s="28" t="s">
        <v>51</v>
      </c>
      <c r="F14" s="29">
        <v>1</v>
      </c>
      <c r="K14" s="30"/>
    </row>
    <row r="15" spans="1:76" ht="51" x14ac:dyDescent="0.25">
      <c r="A15" s="27"/>
      <c r="B15" s="31" t="s">
        <v>62</v>
      </c>
      <c r="C15" s="91" t="s">
        <v>63</v>
      </c>
      <c r="D15" s="92"/>
      <c r="E15" s="92"/>
      <c r="F15" s="92"/>
      <c r="G15" s="92"/>
      <c r="H15" s="92"/>
      <c r="I15" s="92"/>
      <c r="J15" s="92"/>
      <c r="K15" s="93"/>
      <c r="BX15" s="32" t="s">
        <v>63</v>
      </c>
    </row>
    <row r="16" spans="1:76" x14ac:dyDescent="0.25">
      <c r="A16" s="2" t="s">
        <v>64</v>
      </c>
      <c r="B16" s="3" t="s">
        <v>65</v>
      </c>
      <c r="C16" s="75" t="s">
        <v>66</v>
      </c>
      <c r="D16" s="70"/>
      <c r="E16" s="3" t="s">
        <v>57</v>
      </c>
      <c r="F16" s="24">
        <v>1</v>
      </c>
      <c r="G16" s="24">
        <v>0</v>
      </c>
      <c r="H16" s="24">
        <f>ROUND(F16*AO16,2)</f>
        <v>0</v>
      </c>
      <c r="I16" s="24">
        <f>ROUND(F16*AP16,2)</f>
        <v>0</v>
      </c>
      <c r="J16" s="24">
        <f>ROUND(F16*G16,2)</f>
        <v>0</v>
      </c>
      <c r="K16" s="25" t="s">
        <v>58</v>
      </c>
      <c r="Z16" s="24">
        <f>ROUND(IF(AQ16="5",BJ16,0),2)</f>
        <v>0</v>
      </c>
      <c r="AB16" s="24">
        <f>ROUND(IF(AQ16="1",BH16,0),2)</f>
        <v>0</v>
      </c>
      <c r="AC16" s="24">
        <f>ROUND(IF(AQ16="1",BI16,0),2)</f>
        <v>0</v>
      </c>
      <c r="AD16" s="24">
        <f>ROUND(IF(AQ16="7",BH16,0),2)</f>
        <v>0</v>
      </c>
      <c r="AE16" s="24">
        <f>ROUND(IF(AQ16="7",BI16,0),2)</f>
        <v>0</v>
      </c>
      <c r="AF16" s="24">
        <f>ROUND(IF(AQ16="2",BH16,0),2)</f>
        <v>0</v>
      </c>
      <c r="AG16" s="24">
        <f>ROUND(IF(AQ16="2",BI16,0),2)</f>
        <v>0</v>
      </c>
      <c r="AH16" s="24">
        <f>ROUND(IF(AQ16="0",BJ16,0),2)</f>
        <v>0</v>
      </c>
      <c r="AI16" s="10" t="s">
        <v>51</v>
      </c>
      <c r="AJ16" s="24">
        <f>IF(AN16=0,J16,0)</f>
        <v>0</v>
      </c>
      <c r="AK16" s="24">
        <f>IF(AN16=12,J16,0)</f>
        <v>0</v>
      </c>
      <c r="AL16" s="24">
        <f>IF(AN16=21,J16,0)</f>
        <v>0</v>
      </c>
      <c r="AN16" s="24">
        <v>21</v>
      </c>
      <c r="AO16" s="24">
        <f>G16*0.002236453</f>
        <v>0</v>
      </c>
      <c r="AP16" s="24">
        <f>G16*(1-0.002236453)</f>
        <v>0</v>
      </c>
      <c r="AQ16" s="26" t="s">
        <v>54</v>
      </c>
      <c r="AV16" s="24">
        <f>ROUND(AW16+AX16,2)</f>
        <v>0</v>
      </c>
      <c r="AW16" s="24">
        <f>ROUND(F16*AO16,2)</f>
        <v>0</v>
      </c>
      <c r="AX16" s="24">
        <f>ROUND(F16*AP16,2)</f>
        <v>0</v>
      </c>
      <c r="AY16" s="26" t="s">
        <v>59</v>
      </c>
      <c r="AZ16" s="26" t="s">
        <v>60</v>
      </c>
      <c r="BA16" s="10" t="s">
        <v>61</v>
      </c>
      <c r="BC16" s="24">
        <f>AW16+AX16</f>
        <v>0</v>
      </c>
      <c r="BD16" s="24">
        <f>G16/(100-BE16)*100</f>
        <v>0</v>
      </c>
      <c r="BE16" s="24">
        <v>0</v>
      </c>
      <c r="BF16" s="24">
        <f>16</f>
        <v>16</v>
      </c>
      <c r="BH16" s="24">
        <f>F16*AO16</f>
        <v>0</v>
      </c>
      <c r="BI16" s="24">
        <f>F16*AP16</f>
        <v>0</v>
      </c>
      <c r="BJ16" s="24">
        <f>F16*G16</f>
        <v>0</v>
      </c>
      <c r="BK16" s="24"/>
      <c r="BL16" s="24">
        <v>11</v>
      </c>
      <c r="BW16" s="24">
        <v>21</v>
      </c>
      <c r="BX16" s="4" t="s">
        <v>66</v>
      </c>
    </row>
    <row r="17" spans="1:76" x14ac:dyDescent="0.25">
      <c r="A17" s="27"/>
      <c r="C17" s="28" t="s">
        <v>54</v>
      </c>
      <c r="D17" s="28" t="s">
        <v>51</v>
      </c>
      <c r="F17" s="29">
        <v>1</v>
      </c>
      <c r="K17" s="30"/>
    </row>
    <row r="18" spans="1:76" ht="63.75" x14ac:dyDescent="0.25">
      <c r="A18" s="27"/>
      <c r="B18" s="31" t="s">
        <v>62</v>
      </c>
      <c r="C18" s="91" t="s">
        <v>67</v>
      </c>
      <c r="D18" s="92"/>
      <c r="E18" s="92"/>
      <c r="F18" s="92"/>
      <c r="G18" s="92"/>
      <c r="H18" s="92"/>
      <c r="I18" s="92"/>
      <c r="J18" s="92"/>
      <c r="K18" s="93"/>
      <c r="BX18" s="32" t="s">
        <v>67</v>
      </c>
    </row>
    <row r="19" spans="1:76" x14ac:dyDescent="0.25">
      <c r="A19" s="33" t="s">
        <v>51</v>
      </c>
      <c r="B19" s="34" t="s">
        <v>68</v>
      </c>
      <c r="C19" s="94" t="s">
        <v>69</v>
      </c>
      <c r="D19" s="95"/>
      <c r="E19" s="35" t="s">
        <v>4</v>
      </c>
      <c r="F19" s="35" t="s">
        <v>4</v>
      </c>
      <c r="G19" s="35" t="s">
        <v>4</v>
      </c>
      <c r="H19" s="1">
        <f>SUM(H20:H24)</f>
        <v>0</v>
      </c>
      <c r="I19" s="1">
        <f>SUM(I20:I24)</f>
        <v>0</v>
      </c>
      <c r="J19" s="1">
        <f>SUM(J20:J24)</f>
        <v>0</v>
      </c>
      <c r="K19" s="36" t="s">
        <v>51</v>
      </c>
      <c r="AI19" s="10" t="s">
        <v>51</v>
      </c>
      <c r="AS19" s="1">
        <f>SUM(AJ20:AJ24)</f>
        <v>0</v>
      </c>
      <c r="AT19" s="1">
        <f>SUM(AK20:AK24)</f>
        <v>0</v>
      </c>
      <c r="AU19" s="1">
        <f>SUM(AL20:AL24)</f>
        <v>0</v>
      </c>
    </row>
    <row r="20" spans="1:76" x14ac:dyDescent="0.25">
      <c r="A20" s="2" t="s">
        <v>70</v>
      </c>
      <c r="B20" s="3" t="s">
        <v>71</v>
      </c>
      <c r="C20" s="75" t="s">
        <v>72</v>
      </c>
      <c r="D20" s="70"/>
      <c r="E20" s="3" t="s">
        <v>73</v>
      </c>
      <c r="F20" s="24">
        <v>245.4</v>
      </c>
      <c r="G20" s="24">
        <v>0</v>
      </c>
      <c r="H20" s="24">
        <f>ROUND(F20*AO20,2)</f>
        <v>0</v>
      </c>
      <c r="I20" s="24">
        <f>ROUND(F20*AP20,2)</f>
        <v>0</v>
      </c>
      <c r="J20" s="24">
        <f>ROUND(F20*G20,2)</f>
        <v>0</v>
      </c>
      <c r="K20" s="25" t="s">
        <v>74</v>
      </c>
      <c r="Z20" s="24">
        <f>ROUND(IF(AQ20="5",BJ20,0),2)</f>
        <v>0</v>
      </c>
      <c r="AB20" s="24">
        <f>ROUND(IF(AQ20="1",BH20,0),2)</f>
        <v>0</v>
      </c>
      <c r="AC20" s="24">
        <f>ROUND(IF(AQ20="1",BI20,0),2)</f>
        <v>0</v>
      </c>
      <c r="AD20" s="24">
        <f>ROUND(IF(AQ20="7",BH20,0),2)</f>
        <v>0</v>
      </c>
      <c r="AE20" s="24">
        <f>ROUND(IF(AQ20="7",BI20,0),2)</f>
        <v>0</v>
      </c>
      <c r="AF20" s="24">
        <f>ROUND(IF(AQ20="2",BH20,0),2)</f>
        <v>0</v>
      </c>
      <c r="AG20" s="24">
        <f>ROUND(IF(AQ20="2",BI20,0),2)</f>
        <v>0</v>
      </c>
      <c r="AH20" s="24">
        <f>ROUND(IF(AQ20="0",BJ20,0),2)</f>
        <v>0</v>
      </c>
      <c r="AI20" s="10" t="s">
        <v>51</v>
      </c>
      <c r="AJ20" s="24">
        <f>IF(AN20=0,J20,0)</f>
        <v>0</v>
      </c>
      <c r="AK20" s="24">
        <f>IF(AN20=12,J20,0)</f>
        <v>0</v>
      </c>
      <c r="AL20" s="24">
        <f>IF(AN20=21,J20,0)</f>
        <v>0</v>
      </c>
      <c r="AN20" s="24">
        <v>21</v>
      </c>
      <c r="AO20" s="24">
        <f>G20*0</f>
        <v>0</v>
      </c>
      <c r="AP20" s="24">
        <f>G20*(1-0)</f>
        <v>0</v>
      </c>
      <c r="AQ20" s="26" t="s">
        <v>54</v>
      </c>
      <c r="AV20" s="24">
        <f>ROUND(AW20+AX20,2)</f>
        <v>0</v>
      </c>
      <c r="AW20" s="24">
        <f>ROUND(F20*AO20,2)</f>
        <v>0</v>
      </c>
      <c r="AX20" s="24">
        <f>ROUND(F20*AP20,2)</f>
        <v>0</v>
      </c>
      <c r="AY20" s="26" t="s">
        <v>75</v>
      </c>
      <c r="AZ20" s="26" t="s">
        <v>60</v>
      </c>
      <c r="BA20" s="10" t="s">
        <v>61</v>
      </c>
      <c r="BC20" s="24">
        <f>AW20+AX20</f>
        <v>0</v>
      </c>
      <c r="BD20" s="24">
        <f>G20/(100-BE20)*100</f>
        <v>0</v>
      </c>
      <c r="BE20" s="24">
        <v>0</v>
      </c>
      <c r="BF20" s="24">
        <f>20</f>
        <v>20</v>
      </c>
      <c r="BH20" s="24">
        <f>F20*AO20</f>
        <v>0</v>
      </c>
      <c r="BI20" s="24">
        <f>F20*AP20</f>
        <v>0</v>
      </c>
      <c r="BJ20" s="24">
        <f>F20*G20</f>
        <v>0</v>
      </c>
      <c r="BK20" s="24"/>
      <c r="BL20" s="24">
        <v>12</v>
      </c>
      <c r="BW20" s="24">
        <v>21</v>
      </c>
      <c r="BX20" s="4" t="s">
        <v>72</v>
      </c>
    </row>
    <row r="21" spans="1:76" x14ac:dyDescent="0.25">
      <c r="A21" s="27"/>
      <c r="C21" s="28" t="s">
        <v>76</v>
      </c>
      <c r="D21" s="28" t="s">
        <v>77</v>
      </c>
      <c r="F21" s="29">
        <v>240</v>
      </c>
      <c r="K21" s="30"/>
    </row>
    <row r="22" spans="1:76" x14ac:dyDescent="0.25">
      <c r="A22" s="27"/>
      <c r="C22" s="28" t="s">
        <v>78</v>
      </c>
      <c r="D22" s="28" t="s">
        <v>79</v>
      </c>
      <c r="F22" s="29">
        <v>3.6</v>
      </c>
      <c r="K22" s="30"/>
    </row>
    <row r="23" spans="1:76" x14ac:dyDescent="0.25">
      <c r="A23" s="27"/>
      <c r="C23" s="28" t="s">
        <v>80</v>
      </c>
      <c r="D23" s="28" t="s">
        <v>81</v>
      </c>
      <c r="F23" s="29">
        <v>1.8</v>
      </c>
      <c r="K23" s="30"/>
    </row>
    <row r="24" spans="1:76" x14ac:dyDescent="0.25">
      <c r="A24" s="2" t="s">
        <v>82</v>
      </c>
      <c r="B24" s="3" t="s">
        <v>83</v>
      </c>
      <c r="C24" s="75" t="s">
        <v>84</v>
      </c>
      <c r="D24" s="70"/>
      <c r="E24" s="3" t="s">
        <v>73</v>
      </c>
      <c r="F24" s="24">
        <v>245.4</v>
      </c>
      <c r="G24" s="24">
        <v>0</v>
      </c>
      <c r="H24" s="24">
        <f>ROUND(F24*AO24,2)</f>
        <v>0</v>
      </c>
      <c r="I24" s="24">
        <f>ROUND(F24*AP24,2)</f>
        <v>0</v>
      </c>
      <c r="J24" s="24">
        <f>ROUND(F24*G24,2)</f>
        <v>0</v>
      </c>
      <c r="K24" s="25" t="s">
        <v>74</v>
      </c>
      <c r="Z24" s="24">
        <f>ROUND(IF(AQ24="5",BJ24,0),2)</f>
        <v>0</v>
      </c>
      <c r="AB24" s="24">
        <f>ROUND(IF(AQ24="1",BH24,0),2)</f>
        <v>0</v>
      </c>
      <c r="AC24" s="24">
        <f>ROUND(IF(AQ24="1",BI24,0),2)</f>
        <v>0</v>
      </c>
      <c r="AD24" s="24">
        <f>ROUND(IF(AQ24="7",BH24,0),2)</f>
        <v>0</v>
      </c>
      <c r="AE24" s="24">
        <f>ROUND(IF(AQ24="7",BI24,0),2)</f>
        <v>0</v>
      </c>
      <c r="AF24" s="24">
        <f>ROUND(IF(AQ24="2",BH24,0),2)</f>
        <v>0</v>
      </c>
      <c r="AG24" s="24">
        <f>ROUND(IF(AQ24="2",BI24,0),2)</f>
        <v>0</v>
      </c>
      <c r="AH24" s="24">
        <f>ROUND(IF(AQ24="0",BJ24,0),2)</f>
        <v>0</v>
      </c>
      <c r="AI24" s="10" t="s">
        <v>51</v>
      </c>
      <c r="AJ24" s="24">
        <f>IF(AN24=0,J24,0)</f>
        <v>0</v>
      </c>
      <c r="AK24" s="24">
        <f>IF(AN24=12,J24,0)</f>
        <v>0</v>
      </c>
      <c r="AL24" s="24">
        <f>IF(AN24=21,J24,0)</f>
        <v>0</v>
      </c>
      <c r="AN24" s="24">
        <v>21</v>
      </c>
      <c r="AO24" s="24">
        <f>G24*0</f>
        <v>0</v>
      </c>
      <c r="AP24" s="24">
        <f>G24*(1-0)</f>
        <v>0</v>
      </c>
      <c r="AQ24" s="26" t="s">
        <v>54</v>
      </c>
      <c r="AV24" s="24">
        <f>ROUND(AW24+AX24,2)</f>
        <v>0</v>
      </c>
      <c r="AW24" s="24">
        <f>ROUND(F24*AO24,2)</f>
        <v>0</v>
      </c>
      <c r="AX24" s="24">
        <f>ROUND(F24*AP24,2)</f>
        <v>0</v>
      </c>
      <c r="AY24" s="26" t="s">
        <v>75</v>
      </c>
      <c r="AZ24" s="26" t="s">
        <v>60</v>
      </c>
      <c r="BA24" s="10" t="s">
        <v>61</v>
      </c>
      <c r="BC24" s="24">
        <f>AW24+AX24</f>
        <v>0</v>
      </c>
      <c r="BD24" s="24">
        <f>G24/(100-BE24)*100</f>
        <v>0</v>
      </c>
      <c r="BE24" s="24">
        <v>0</v>
      </c>
      <c r="BF24" s="24">
        <f>24</f>
        <v>24</v>
      </c>
      <c r="BH24" s="24">
        <f>F24*AO24</f>
        <v>0</v>
      </c>
      <c r="BI24" s="24">
        <f>F24*AP24</f>
        <v>0</v>
      </c>
      <c r="BJ24" s="24">
        <f>F24*G24</f>
        <v>0</v>
      </c>
      <c r="BK24" s="24"/>
      <c r="BL24" s="24">
        <v>12</v>
      </c>
      <c r="BW24" s="24">
        <v>21</v>
      </c>
      <c r="BX24" s="4" t="s">
        <v>84</v>
      </c>
    </row>
    <row r="25" spans="1:76" x14ac:dyDescent="0.25">
      <c r="A25" s="27"/>
      <c r="C25" s="28" t="s">
        <v>85</v>
      </c>
      <c r="D25" s="28" t="s">
        <v>51</v>
      </c>
      <c r="F25" s="29">
        <v>245.4</v>
      </c>
      <c r="K25" s="30"/>
    </row>
    <row r="26" spans="1:76" ht="25.5" x14ac:dyDescent="0.25">
      <c r="A26" s="27"/>
      <c r="B26" s="31" t="s">
        <v>62</v>
      </c>
      <c r="C26" s="91" t="s">
        <v>86</v>
      </c>
      <c r="D26" s="92"/>
      <c r="E26" s="92"/>
      <c r="F26" s="92"/>
      <c r="G26" s="92"/>
      <c r="H26" s="92"/>
      <c r="I26" s="92"/>
      <c r="J26" s="92"/>
      <c r="K26" s="93"/>
      <c r="BX26" s="32" t="s">
        <v>86</v>
      </c>
    </row>
    <row r="27" spans="1:76" x14ac:dyDescent="0.25">
      <c r="A27" s="33" t="s">
        <v>51</v>
      </c>
      <c r="B27" s="34" t="s">
        <v>87</v>
      </c>
      <c r="C27" s="94" t="s">
        <v>88</v>
      </c>
      <c r="D27" s="95"/>
      <c r="E27" s="35" t="s">
        <v>4</v>
      </c>
      <c r="F27" s="35" t="s">
        <v>4</v>
      </c>
      <c r="G27" s="35" t="s">
        <v>4</v>
      </c>
      <c r="H27" s="1">
        <f>SUM(H28:H47)</f>
        <v>0</v>
      </c>
      <c r="I27" s="1">
        <f>SUM(I28:I47)</f>
        <v>0</v>
      </c>
      <c r="J27" s="1">
        <f>SUM(J28:J47)</f>
        <v>0</v>
      </c>
      <c r="K27" s="36" t="s">
        <v>51</v>
      </c>
      <c r="AI27" s="10" t="s">
        <v>51</v>
      </c>
      <c r="AS27" s="1">
        <f>SUM(AJ28:AJ47)</f>
        <v>0</v>
      </c>
      <c r="AT27" s="1">
        <f>SUM(AK28:AK47)</f>
        <v>0</v>
      </c>
      <c r="AU27" s="1">
        <f>SUM(AL28:AL47)</f>
        <v>0</v>
      </c>
    </row>
    <row r="28" spans="1:76" x14ac:dyDescent="0.25">
      <c r="A28" s="2" t="s">
        <v>89</v>
      </c>
      <c r="B28" s="3" t="s">
        <v>90</v>
      </c>
      <c r="C28" s="75" t="s">
        <v>91</v>
      </c>
      <c r="D28" s="70"/>
      <c r="E28" s="3" t="s">
        <v>73</v>
      </c>
      <c r="F28" s="24">
        <v>13.891</v>
      </c>
      <c r="G28" s="24">
        <v>0</v>
      </c>
      <c r="H28" s="24">
        <f>ROUND(F28*AO28,2)</f>
        <v>0</v>
      </c>
      <c r="I28" s="24">
        <f>ROUND(F28*AP28,2)</f>
        <v>0</v>
      </c>
      <c r="J28" s="24">
        <f>ROUND(F28*G28,2)</f>
        <v>0</v>
      </c>
      <c r="K28" s="25" t="s">
        <v>74</v>
      </c>
      <c r="Z28" s="24">
        <f>ROUND(IF(AQ28="5",BJ28,0),2)</f>
        <v>0</v>
      </c>
      <c r="AB28" s="24">
        <f>ROUND(IF(AQ28="1",BH28,0),2)</f>
        <v>0</v>
      </c>
      <c r="AC28" s="24">
        <f>ROUND(IF(AQ28="1",BI28,0),2)</f>
        <v>0</v>
      </c>
      <c r="AD28" s="24">
        <f>ROUND(IF(AQ28="7",BH28,0),2)</f>
        <v>0</v>
      </c>
      <c r="AE28" s="24">
        <f>ROUND(IF(AQ28="7",BI28,0),2)</f>
        <v>0</v>
      </c>
      <c r="AF28" s="24">
        <f>ROUND(IF(AQ28="2",BH28,0),2)</f>
        <v>0</v>
      </c>
      <c r="AG28" s="24">
        <f>ROUND(IF(AQ28="2",BI28,0),2)</f>
        <v>0</v>
      </c>
      <c r="AH28" s="24">
        <f>ROUND(IF(AQ28="0",BJ28,0),2)</f>
        <v>0</v>
      </c>
      <c r="AI28" s="10" t="s">
        <v>51</v>
      </c>
      <c r="AJ28" s="24">
        <f>IF(AN28=0,J28,0)</f>
        <v>0</v>
      </c>
      <c r="AK28" s="24">
        <f>IF(AN28=12,J28,0)</f>
        <v>0</v>
      </c>
      <c r="AL28" s="24">
        <f>IF(AN28=21,J28,0)</f>
        <v>0</v>
      </c>
      <c r="AN28" s="24">
        <v>21</v>
      </c>
      <c r="AO28" s="24">
        <f>G28*0</f>
        <v>0</v>
      </c>
      <c r="AP28" s="24">
        <f>G28*(1-0)</f>
        <v>0</v>
      </c>
      <c r="AQ28" s="26" t="s">
        <v>54</v>
      </c>
      <c r="AV28" s="24">
        <f>ROUND(AW28+AX28,2)</f>
        <v>0</v>
      </c>
      <c r="AW28" s="24">
        <f>ROUND(F28*AO28,2)</f>
        <v>0</v>
      </c>
      <c r="AX28" s="24">
        <f>ROUND(F28*AP28,2)</f>
        <v>0</v>
      </c>
      <c r="AY28" s="26" t="s">
        <v>92</v>
      </c>
      <c r="AZ28" s="26" t="s">
        <v>60</v>
      </c>
      <c r="BA28" s="10" t="s">
        <v>61</v>
      </c>
      <c r="BC28" s="24">
        <f>AW28+AX28</f>
        <v>0</v>
      </c>
      <c r="BD28" s="24">
        <f>G28/(100-BE28)*100</f>
        <v>0</v>
      </c>
      <c r="BE28" s="24">
        <v>0</v>
      </c>
      <c r="BF28" s="24">
        <f>28</f>
        <v>28</v>
      </c>
      <c r="BH28" s="24">
        <f>F28*AO28</f>
        <v>0</v>
      </c>
      <c r="BI28" s="24">
        <f>F28*AP28</f>
        <v>0</v>
      </c>
      <c r="BJ28" s="24">
        <f>F28*G28</f>
        <v>0</v>
      </c>
      <c r="BK28" s="24"/>
      <c r="BL28" s="24">
        <v>13</v>
      </c>
      <c r="BW28" s="24">
        <v>21</v>
      </c>
      <c r="BX28" s="4" t="s">
        <v>91</v>
      </c>
    </row>
    <row r="29" spans="1:76" x14ac:dyDescent="0.25">
      <c r="A29" s="27"/>
      <c r="C29" s="28" t="s">
        <v>93</v>
      </c>
      <c r="D29" s="28" t="s">
        <v>94</v>
      </c>
      <c r="F29" s="29">
        <v>8.4239999999999995</v>
      </c>
      <c r="K29" s="30"/>
    </row>
    <row r="30" spans="1:76" x14ac:dyDescent="0.25">
      <c r="A30" s="27"/>
      <c r="C30" s="28" t="s">
        <v>95</v>
      </c>
      <c r="D30" s="28" t="s">
        <v>96</v>
      </c>
      <c r="F30" s="29">
        <v>0.89600000000000002</v>
      </c>
      <c r="K30" s="30"/>
    </row>
    <row r="31" spans="1:76" x14ac:dyDescent="0.25">
      <c r="A31" s="27"/>
      <c r="C31" s="28" t="s">
        <v>97</v>
      </c>
      <c r="D31" s="28" t="s">
        <v>98</v>
      </c>
      <c r="F31" s="29">
        <v>3.9710000000000001</v>
      </c>
      <c r="K31" s="30"/>
    </row>
    <row r="32" spans="1:76" x14ac:dyDescent="0.25">
      <c r="A32" s="27"/>
      <c r="C32" s="28" t="s">
        <v>99</v>
      </c>
      <c r="D32" s="28" t="s">
        <v>100</v>
      </c>
      <c r="F32" s="29">
        <v>0.6</v>
      </c>
      <c r="K32" s="30"/>
    </row>
    <row r="33" spans="1:76" x14ac:dyDescent="0.25">
      <c r="A33" s="27"/>
      <c r="B33" s="31" t="s">
        <v>62</v>
      </c>
      <c r="C33" s="91" t="s">
        <v>101</v>
      </c>
      <c r="D33" s="92"/>
      <c r="E33" s="92"/>
      <c r="F33" s="92"/>
      <c r="G33" s="92"/>
      <c r="H33" s="92"/>
      <c r="I33" s="92"/>
      <c r="J33" s="92"/>
      <c r="K33" s="93"/>
      <c r="BX33" s="32" t="s">
        <v>101</v>
      </c>
    </row>
    <row r="34" spans="1:76" x14ac:dyDescent="0.25">
      <c r="A34" s="2" t="s">
        <v>102</v>
      </c>
      <c r="B34" s="3" t="s">
        <v>103</v>
      </c>
      <c r="C34" s="75" t="s">
        <v>104</v>
      </c>
      <c r="D34" s="70"/>
      <c r="E34" s="3" t="s">
        <v>73</v>
      </c>
      <c r="F34" s="24">
        <v>13.491</v>
      </c>
      <c r="G34" s="24">
        <v>0</v>
      </c>
      <c r="H34" s="24">
        <f>ROUND(F34*AO34,2)</f>
        <v>0</v>
      </c>
      <c r="I34" s="24">
        <f>ROUND(F34*AP34,2)</f>
        <v>0</v>
      </c>
      <c r="J34" s="24">
        <f>ROUND(F34*G34,2)</f>
        <v>0</v>
      </c>
      <c r="K34" s="25" t="s">
        <v>74</v>
      </c>
      <c r="Z34" s="24">
        <f>ROUND(IF(AQ34="5",BJ34,0),2)</f>
        <v>0</v>
      </c>
      <c r="AB34" s="24">
        <f>ROUND(IF(AQ34="1",BH34,0),2)</f>
        <v>0</v>
      </c>
      <c r="AC34" s="24">
        <f>ROUND(IF(AQ34="1",BI34,0),2)</f>
        <v>0</v>
      </c>
      <c r="AD34" s="24">
        <f>ROUND(IF(AQ34="7",BH34,0),2)</f>
        <v>0</v>
      </c>
      <c r="AE34" s="24">
        <f>ROUND(IF(AQ34="7",BI34,0),2)</f>
        <v>0</v>
      </c>
      <c r="AF34" s="24">
        <f>ROUND(IF(AQ34="2",BH34,0),2)</f>
        <v>0</v>
      </c>
      <c r="AG34" s="24">
        <f>ROUND(IF(AQ34="2",BI34,0),2)</f>
        <v>0</v>
      </c>
      <c r="AH34" s="24">
        <f>ROUND(IF(AQ34="0",BJ34,0),2)</f>
        <v>0</v>
      </c>
      <c r="AI34" s="10" t="s">
        <v>51</v>
      </c>
      <c r="AJ34" s="24">
        <f>IF(AN34=0,J34,0)</f>
        <v>0</v>
      </c>
      <c r="AK34" s="24">
        <f>IF(AN34=12,J34,0)</f>
        <v>0</v>
      </c>
      <c r="AL34" s="24">
        <f>IF(AN34=21,J34,0)</f>
        <v>0</v>
      </c>
      <c r="AN34" s="24">
        <v>21</v>
      </c>
      <c r="AO34" s="24">
        <f>G34*0</f>
        <v>0</v>
      </c>
      <c r="AP34" s="24">
        <f>G34*(1-0)</f>
        <v>0</v>
      </c>
      <c r="AQ34" s="26" t="s">
        <v>54</v>
      </c>
      <c r="AV34" s="24">
        <f>ROUND(AW34+AX34,2)</f>
        <v>0</v>
      </c>
      <c r="AW34" s="24">
        <f>ROUND(F34*AO34,2)</f>
        <v>0</v>
      </c>
      <c r="AX34" s="24">
        <f>ROUND(F34*AP34,2)</f>
        <v>0</v>
      </c>
      <c r="AY34" s="26" t="s">
        <v>92</v>
      </c>
      <c r="AZ34" s="26" t="s">
        <v>60</v>
      </c>
      <c r="BA34" s="10" t="s">
        <v>61</v>
      </c>
      <c r="BC34" s="24">
        <f>AW34+AX34</f>
        <v>0</v>
      </c>
      <c r="BD34" s="24">
        <f>G34/(100-BE34)*100</f>
        <v>0</v>
      </c>
      <c r="BE34" s="24">
        <v>0</v>
      </c>
      <c r="BF34" s="24">
        <f>34</f>
        <v>34</v>
      </c>
      <c r="BH34" s="24">
        <f>F34*AO34</f>
        <v>0</v>
      </c>
      <c r="BI34" s="24">
        <f>F34*AP34</f>
        <v>0</v>
      </c>
      <c r="BJ34" s="24">
        <f>F34*G34</f>
        <v>0</v>
      </c>
      <c r="BK34" s="24"/>
      <c r="BL34" s="24">
        <v>13</v>
      </c>
      <c r="BW34" s="24">
        <v>21</v>
      </c>
      <c r="BX34" s="4" t="s">
        <v>104</v>
      </c>
    </row>
    <row r="35" spans="1:76" x14ac:dyDescent="0.25">
      <c r="A35" s="27"/>
      <c r="C35" s="28" t="s">
        <v>105</v>
      </c>
      <c r="D35" s="28" t="s">
        <v>51</v>
      </c>
      <c r="F35" s="29">
        <v>13.491</v>
      </c>
      <c r="K35" s="30"/>
    </row>
    <row r="36" spans="1:76" ht="25.5" x14ac:dyDescent="0.25">
      <c r="A36" s="27"/>
      <c r="B36" s="31" t="s">
        <v>62</v>
      </c>
      <c r="C36" s="91" t="s">
        <v>86</v>
      </c>
      <c r="D36" s="92"/>
      <c r="E36" s="92"/>
      <c r="F36" s="92"/>
      <c r="G36" s="92"/>
      <c r="H36" s="92"/>
      <c r="I36" s="92"/>
      <c r="J36" s="92"/>
      <c r="K36" s="93"/>
      <c r="BX36" s="32" t="s">
        <v>86</v>
      </c>
    </row>
    <row r="37" spans="1:76" x14ac:dyDescent="0.25">
      <c r="A37" s="2" t="s">
        <v>106</v>
      </c>
      <c r="B37" s="3" t="s">
        <v>107</v>
      </c>
      <c r="C37" s="75" t="s">
        <v>108</v>
      </c>
      <c r="D37" s="70"/>
      <c r="E37" s="3" t="s">
        <v>73</v>
      </c>
      <c r="F37" s="24">
        <v>55.8</v>
      </c>
      <c r="G37" s="24">
        <v>0</v>
      </c>
      <c r="H37" s="24">
        <f>ROUND(F37*AO37,2)</f>
        <v>0</v>
      </c>
      <c r="I37" s="24">
        <f>ROUND(F37*AP37,2)</f>
        <v>0</v>
      </c>
      <c r="J37" s="24">
        <f>ROUND(F37*G37,2)</f>
        <v>0</v>
      </c>
      <c r="K37" s="25" t="s">
        <v>74</v>
      </c>
      <c r="Z37" s="24">
        <f>ROUND(IF(AQ37="5",BJ37,0),2)</f>
        <v>0</v>
      </c>
      <c r="AB37" s="24">
        <f>ROUND(IF(AQ37="1",BH37,0),2)</f>
        <v>0</v>
      </c>
      <c r="AC37" s="24">
        <f>ROUND(IF(AQ37="1",BI37,0),2)</f>
        <v>0</v>
      </c>
      <c r="AD37" s="24">
        <f>ROUND(IF(AQ37="7",BH37,0),2)</f>
        <v>0</v>
      </c>
      <c r="AE37" s="24">
        <f>ROUND(IF(AQ37="7",BI37,0),2)</f>
        <v>0</v>
      </c>
      <c r="AF37" s="24">
        <f>ROUND(IF(AQ37="2",BH37,0),2)</f>
        <v>0</v>
      </c>
      <c r="AG37" s="24">
        <f>ROUND(IF(AQ37="2",BI37,0),2)</f>
        <v>0</v>
      </c>
      <c r="AH37" s="24">
        <f>ROUND(IF(AQ37="0",BJ37,0),2)</f>
        <v>0</v>
      </c>
      <c r="AI37" s="10" t="s">
        <v>51</v>
      </c>
      <c r="AJ37" s="24">
        <f>IF(AN37=0,J37,0)</f>
        <v>0</v>
      </c>
      <c r="AK37" s="24">
        <f>IF(AN37=12,J37,0)</f>
        <v>0</v>
      </c>
      <c r="AL37" s="24">
        <f>IF(AN37=21,J37,0)</f>
        <v>0</v>
      </c>
      <c r="AN37" s="24">
        <v>21</v>
      </c>
      <c r="AO37" s="24">
        <f>G37*0</f>
        <v>0</v>
      </c>
      <c r="AP37" s="24">
        <f>G37*(1-0)</f>
        <v>0</v>
      </c>
      <c r="AQ37" s="26" t="s">
        <v>54</v>
      </c>
      <c r="AV37" s="24">
        <f>ROUND(AW37+AX37,2)</f>
        <v>0</v>
      </c>
      <c r="AW37" s="24">
        <f>ROUND(F37*AO37,2)</f>
        <v>0</v>
      </c>
      <c r="AX37" s="24">
        <f>ROUND(F37*AP37,2)</f>
        <v>0</v>
      </c>
      <c r="AY37" s="26" t="s">
        <v>92</v>
      </c>
      <c r="AZ37" s="26" t="s">
        <v>60</v>
      </c>
      <c r="BA37" s="10" t="s">
        <v>61</v>
      </c>
      <c r="BC37" s="24">
        <f>AW37+AX37</f>
        <v>0</v>
      </c>
      <c r="BD37" s="24">
        <f>G37/(100-BE37)*100</f>
        <v>0</v>
      </c>
      <c r="BE37" s="24">
        <v>0</v>
      </c>
      <c r="BF37" s="24">
        <f>37</f>
        <v>37</v>
      </c>
      <c r="BH37" s="24">
        <f>F37*AO37</f>
        <v>0</v>
      </c>
      <c r="BI37" s="24">
        <f>F37*AP37</f>
        <v>0</v>
      </c>
      <c r="BJ37" s="24">
        <f>F37*G37</f>
        <v>0</v>
      </c>
      <c r="BK37" s="24"/>
      <c r="BL37" s="24">
        <v>13</v>
      </c>
      <c r="BW37" s="24">
        <v>21</v>
      </c>
      <c r="BX37" s="4" t="s">
        <v>108</v>
      </c>
    </row>
    <row r="38" spans="1:76" x14ac:dyDescent="0.25">
      <c r="A38" s="27"/>
      <c r="C38" s="28" t="s">
        <v>109</v>
      </c>
      <c r="D38" s="28" t="s">
        <v>110</v>
      </c>
      <c r="F38" s="29">
        <v>18</v>
      </c>
      <c r="K38" s="30"/>
    </row>
    <row r="39" spans="1:76" x14ac:dyDescent="0.25">
      <c r="A39" s="27"/>
      <c r="C39" s="28" t="s">
        <v>111</v>
      </c>
      <c r="D39" s="28" t="s">
        <v>112</v>
      </c>
      <c r="F39" s="29">
        <v>37.799999999999997</v>
      </c>
      <c r="K39" s="30"/>
    </row>
    <row r="40" spans="1:76" ht="89.25" x14ac:dyDescent="0.25">
      <c r="A40" s="27"/>
      <c r="B40" s="31" t="s">
        <v>62</v>
      </c>
      <c r="C40" s="91" t="s">
        <v>113</v>
      </c>
      <c r="D40" s="92"/>
      <c r="E40" s="92"/>
      <c r="F40" s="92"/>
      <c r="G40" s="92"/>
      <c r="H40" s="92"/>
      <c r="I40" s="92"/>
      <c r="J40" s="92"/>
      <c r="K40" s="93"/>
      <c r="BX40" s="32" t="s">
        <v>113</v>
      </c>
    </row>
    <row r="41" spans="1:76" x14ac:dyDescent="0.25">
      <c r="A41" s="2" t="s">
        <v>114</v>
      </c>
      <c r="B41" s="3" t="s">
        <v>115</v>
      </c>
      <c r="C41" s="75" t="s">
        <v>116</v>
      </c>
      <c r="D41" s="70"/>
      <c r="E41" s="3" t="s">
        <v>73</v>
      </c>
      <c r="F41" s="24">
        <v>37.799999999999997</v>
      </c>
      <c r="G41" s="24">
        <v>0</v>
      </c>
      <c r="H41" s="24">
        <f>ROUND(F41*AO41,2)</f>
        <v>0</v>
      </c>
      <c r="I41" s="24">
        <f>ROUND(F41*AP41,2)</f>
        <v>0</v>
      </c>
      <c r="J41" s="24">
        <f>ROUND(F41*G41,2)</f>
        <v>0</v>
      </c>
      <c r="K41" s="25" t="s">
        <v>74</v>
      </c>
      <c r="Z41" s="24">
        <f>ROUND(IF(AQ41="5",BJ41,0),2)</f>
        <v>0</v>
      </c>
      <c r="AB41" s="24">
        <f>ROUND(IF(AQ41="1",BH41,0),2)</f>
        <v>0</v>
      </c>
      <c r="AC41" s="24">
        <f>ROUND(IF(AQ41="1",BI41,0),2)</f>
        <v>0</v>
      </c>
      <c r="AD41" s="24">
        <f>ROUND(IF(AQ41="7",BH41,0),2)</f>
        <v>0</v>
      </c>
      <c r="AE41" s="24">
        <f>ROUND(IF(AQ41="7",BI41,0),2)</f>
        <v>0</v>
      </c>
      <c r="AF41" s="24">
        <f>ROUND(IF(AQ41="2",BH41,0),2)</f>
        <v>0</v>
      </c>
      <c r="AG41" s="24">
        <f>ROUND(IF(AQ41="2",BI41,0),2)</f>
        <v>0</v>
      </c>
      <c r="AH41" s="24">
        <f>ROUND(IF(AQ41="0",BJ41,0),2)</f>
        <v>0</v>
      </c>
      <c r="AI41" s="10" t="s">
        <v>51</v>
      </c>
      <c r="AJ41" s="24">
        <f>IF(AN41=0,J41,0)</f>
        <v>0</v>
      </c>
      <c r="AK41" s="24">
        <f>IF(AN41=12,J41,0)</f>
        <v>0</v>
      </c>
      <c r="AL41" s="24">
        <f>IF(AN41=21,J41,0)</f>
        <v>0</v>
      </c>
      <c r="AN41" s="24">
        <v>21</v>
      </c>
      <c r="AO41" s="24">
        <f>G41*0</f>
        <v>0</v>
      </c>
      <c r="AP41" s="24">
        <f>G41*(1-0)</f>
        <v>0</v>
      </c>
      <c r="AQ41" s="26" t="s">
        <v>54</v>
      </c>
      <c r="AV41" s="24">
        <f>ROUND(AW41+AX41,2)</f>
        <v>0</v>
      </c>
      <c r="AW41" s="24">
        <f>ROUND(F41*AO41,2)</f>
        <v>0</v>
      </c>
      <c r="AX41" s="24">
        <f>ROUND(F41*AP41,2)</f>
        <v>0</v>
      </c>
      <c r="AY41" s="26" t="s">
        <v>92</v>
      </c>
      <c r="AZ41" s="26" t="s">
        <v>60</v>
      </c>
      <c r="BA41" s="10" t="s">
        <v>61</v>
      </c>
      <c r="BC41" s="24">
        <f>AW41+AX41</f>
        <v>0</v>
      </c>
      <c r="BD41" s="24">
        <f>G41/(100-BE41)*100</f>
        <v>0</v>
      </c>
      <c r="BE41" s="24">
        <v>0</v>
      </c>
      <c r="BF41" s="24">
        <f>41</f>
        <v>41</v>
      </c>
      <c r="BH41" s="24">
        <f>F41*AO41</f>
        <v>0</v>
      </c>
      <c r="BI41" s="24">
        <f>F41*AP41</f>
        <v>0</v>
      </c>
      <c r="BJ41" s="24">
        <f>F41*G41</f>
        <v>0</v>
      </c>
      <c r="BK41" s="24"/>
      <c r="BL41" s="24">
        <v>13</v>
      </c>
      <c r="BW41" s="24">
        <v>21</v>
      </c>
      <c r="BX41" s="4" t="s">
        <v>116</v>
      </c>
    </row>
    <row r="42" spans="1:76" x14ac:dyDescent="0.25">
      <c r="A42" s="27"/>
      <c r="C42" s="28" t="s">
        <v>117</v>
      </c>
      <c r="D42" s="28" t="s">
        <v>51</v>
      </c>
      <c r="F42" s="29">
        <v>37.799999999999997</v>
      </c>
      <c r="K42" s="30"/>
    </row>
    <row r="43" spans="1:76" ht="25.5" x14ac:dyDescent="0.25">
      <c r="A43" s="27"/>
      <c r="B43" s="31" t="s">
        <v>62</v>
      </c>
      <c r="C43" s="91" t="s">
        <v>86</v>
      </c>
      <c r="D43" s="92"/>
      <c r="E43" s="92"/>
      <c r="F43" s="92"/>
      <c r="G43" s="92"/>
      <c r="H43" s="92"/>
      <c r="I43" s="92"/>
      <c r="J43" s="92"/>
      <c r="K43" s="93"/>
      <c r="BX43" s="32" t="s">
        <v>86</v>
      </c>
    </row>
    <row r="44" spans="1:76" x14ac:dyDescent="0.25">
      <c r="A44" s="2" t="s">
        <v>118</v>
      </c>
      <c r="B44" s="3" t="s">
        <v>119</v>
      </c>
      <c r="C44" s="75" t="s">
        <v>120</v>
      </c>
      <c r="D44" s="70"/>
      <c r="E44" s="3" t="s">
        <v>73</v>
      </c>
      <c r="F44" s="24">
        <v>12</v>
      </c>
      <c r="G44" s="24">
        <v>0</v>
      </c>
      <c r="H44" s="24">
        <f>ROUND(F44*AO44,2)</f>
        <v>0</v>
      </c>
      <c r="I44" s="24">
        <f>ROUND(F44*AP44,2)</f>
        <v>0</v>
      </c>
      <c r="J44" s="24">
        <f>ROUND(F44*G44,2)</f>
        <v>0</v>
      </c>
      <c r="K44" s="25" t="s">
        <v>74</v>
      </c>
      <c r="Z44" s="24">
        <f>ROUND(IF(AQ44="5",BJ44,0),2)</f>
        <v>0</v>
      </c>
      <c r="AB44" s="24">
        <f>ROUND(IF(AQ44="1",BH44,0),2)</f>
        <v>0</v>
      </c>
      <c r="AC44" s="24">
        <f>ROUND(IF(AQ44="1",BI44,0),2)</f>
        <v>0</v>
      </c>
      <c r="AD44" s="24">
        <f>ROUND(IF(AQ44="7",BH44,0),2)</f>
        <v>0</v>
      </c>
      <c r="AE44" s="24">
        <f>ROUND(IF(AQ44="7",BI44,0),2)</f>
        <v>0</v>
      </c>
      <c r="AF44" s="24">
        <f>ROUND(IF(AQ44="2",BH44,0),2)</f>
        <v>0</v>
      </c>
      <c r="AG44" s="24">
        <f>ROUND(IF(AQ44="2",BI44,0),2)</f>
        <v>0</v>
      </c>
      <c r="AH44" s="24">
        <f>ROUND(IF(AQ44="0",BJ44,0),2)</f>
        <v>0</v>
      </c>
      <c r="AI44" s="10" t="s">
        <v>51</v>
      </c>
      <c r="AJ44" s="24">
        <f>IF(AN44=0,J44,0)</f>
        <v>0</v>
      </c>
      <c r="AK44" s="24">
        <f>IF(AN44=12,J44,0)</f>
        <v>0</v>
      </c>
      <c r="AL44" s="24">
        <f>IF(AN44=21,J44,0)</f>
        <v>0</v>
      </c>
      <c r="AN44" s="24">
        <v>21</v>
      </c>
      <c r="AO44" s="24">
        <f>G44*0</f>
        <v>0</v>
      </c>
      <c r="AP44" s="24">
        <f>G44*(1-0)</f>
        <v>0</v>
      </c>
      <c r="AQ44" s="26" t="s">
        <v>54</v>
      </c>
      <c r="AV44" s="24">
        <f>ROUND(AW44+AX44,2)</f>
        <v>0</v>
      </c>
      <c r="AW44" s="24">
        <f>ROUND(F44*AO44,2)</f>
        <v>0</v>
      </c>
      <c r="AX44" s="24">
        <f>ROUND(F44*AP44,2)</f>
        <v>0</v>
      </c>
      <c r="AY44" s="26" t="s">
        <v>92</v>
      </c>
      <c r="AZ44" s="26" t="s">
        <v>60</v>
      </c>
      <c r="BA44" s="10" t="s">
        <v>61</v>
      </c>
      <c r="BC44" s="24">
        <f>AW44+AX44</f>
        <v>0</v>
      </c>
      <c r="BD44" s="24">
        <f>G44/(100-BE44)*100</f>
        <v>0</v>
      </c>
      <c r="BE44" s="24">
        <v>0</v>
      </c>
      <c r="BF44" s="24">
        <f>44</f>
        <v>44</v>
      </c>
      <c r="BH44" s="24">
        <f>F44*AO44</f>
        <v>0</v>
      </c>
      <c r="BI44" s="24">
        <f>F44*AP44</f>
        <v>0</v>
      </c>
      <c r="BJ44" s="24">
        <f>F44*G44</f>
        <v>0</v>
      </c>
      <c r="BK44" s="24"/>
      <c r="BL44" s="24">
        <v>13</v>
      </c>
      <c r="BW44" s="24">
        <v>21</v>
      </c>
      <c r="BX44" s="4" t="s">
        <v>120</v>
      </c>
    </row>
    <row r="45" spans="1:76" x14ac:dyDescent="0.25">
      <c r="A45" s="27"/>
      <c r="C45" s="28" t="s">
        <v>121</v>
      </c>
      <c r="D45" s="28" t="s">
        <v>122</v>
      </c>
      <c r="F45" s="29">
        <v>12</v>
      </c>
      <c r="K45" s="30"/>
    </row>
    <row r="46" spans="1:76" ht="89.25" x14ac:dyDescent="0.25">
      <c r="A46" s="27"/>
      <c r="B46" s="31" t="s">
        <v>62</v>
      </c>
      <c r="C46" s="91" t="s">
        <v>123</v>
      </c>
      <c r="D46" s="92"/>
      <c r="E46" s="92"/>
      <c r="F46" s="92"/>
      <c r="G46" s="92"/>
      <c r="H46" s="92"/>
      <c r="I46" s="92"/>
      <c r="J46" s="92"/>
      <c r="K46" s="93"/>
      <c r="BX46" s="32" t="s">
        <v>123</v>
      </c>
    </row>
    <row r="47" spans="1:76" x14ac:dyDescent="0.25">
      <c r="A47" s="2" t="s">
        <v>124</v>
      </c>
      <c r="B47" s="3" t="s">
        <v>125</v>
      </c>
      <c r="C47" s="75" t="s">
        <v>126</v>
      </c>
      <c r="D47" s="70"/>
      <c r="E47" s="3" t="s">
        <v>73</v>
      </c>
      <c r="F47" s="24">
        <v>12</v>
      </c>
      <c r="G47" s="24">
        <v>0</v>
      </c>
      <c r="H47" s="24">
        <f>ROUND(F47*AO47,2)</f>
        <v>0</v>
      </c>
      <c r="I47" s="24">
        <f>ROUND(F47*AP47,2)</f>
        <v>0</v>
      </c>
      <c r="J47" s="24">
        <f>ROUND(F47*G47,2)</f>
        <v>0</v>
      </c>
      <c r="K47" s="25" t="s">
        <v>74</v>
      </c>
      <c r="Z47" s="24">
        <f>ROUND(IF(AQ47="5",BJ47,0),2)</f>
        <v>0</v>
      </c>
      <c r="AB47" s="24">
        <f>ROUND(IF(AQ47="1",BH47,0),2)</f>
        <v>0</v>
      </c>
      <c r="AC47" s="24">
        <f>ROUND(IF(AQ47="1",BI47,0),2)</f>
        <v>0</v>
      </c>
      <c r="AD47" s="24">
        <f>ROUND(IF(AQ47="7",BH47,0),2)</f>
        <v>0</v>
      </c>
      <c r="AE47" s="24">
        <f>ROUND(IF(AQ47="7",BI47,0),2)</f>
        <v>0</v>
      </c>
      <c r="AF47" s="24">
        <f>ROUND(IF(AQ47="2",BH47,0),2)</f>
        <v>0</v>
      </c>
      <c r="AG47" s="24">
        <f>ROUND(IF(AQ47="2",BI47,0),2)</f>
        <v>0</v>
      </c>
      <c r="AH47" s="24">
        <f>ROUND(IF(AQ47="0",BJ47,0),2)</f>
        <v>0</v>
      </c>
      <c r="AI47" s="10" t="s">
        <v>51</v>
      </c>
      <c r="AJ47" s="24">
        <f>IF(AN47=0,J47,0)</f>
        <v>0</v>
      </c>
      <c r="AK47" s="24">
        <f>IF(AN47=12,J47,0)</f>
        <v>0</v>
      </c>
      <c r="AL47" s="24">
        <f>IF(AN47=21,J47,0)</f>
        <v>0</v>
      </c>
      <c r="AN47" s="24">
        <v>21</v>
      </c>
      <c r="AO47" s="24">
        <f>G47*0</f>
        <v>0</v>
      </c>
      <c r="AP47" s="24">
        <f>G47*(1-0)</f>
        <v>0</v>
      </c>
      <c r="AQ47" s="26" t="s">
        <v>54</v>
      </c>
      <c r="AV47" s="24">
        <f>ROUND(AW47+AX47,2)</f>
        <v>0</v>
      </c>
      <c r="AW47" s="24">
        <f>ROUND(F47*AO47,2)</f>
        <v>0</v>
      </c>
      <c r="AX47" s="24">
        <f>ROUND(F47*AP47,2)</f>
        <v>0</v>
      </c>
      <c r="AY47" s="26" t="s">
        <v>92</v>
      </c>
      <c r="AZ47" s="26" t="s">
        <v>60</v>
      </c>
      <c r="BA47" s="10" t="s">
        <v>61</v>
      </c>
      <c r="BC47" s="24">
        <f>AW47+AX47</f>
        <v>0</v>
      </c>
      <c r="BD47" s="24">
        <f>G47/(100-BE47)*100</f>
        <v>0</v>
      </c>
      <c r="BE47" s="24">
        <v>0</v>
      </c>
      <c r="BF47" s="24">
        <f>47</f>
        <v>47</v>
      </c>
      <c r="BH47" s="24">
        <f>F47*AO47</f>
        <v>0</v>
      </c>
      <c r="BI47" s="24">
        <f>F47*AP47</f>
        <v>0</v>
      </c>
      <c r="BJ47" s="24">
        <f>F47*G47</f>
        <v>0</v>
      </c>
      <c r="BK47" s="24"/>
      <c r="BL47" s="24">
        <v>13</v>
      </c>
      <c r="BW47" s="24">
        <v>21</v>
      </c>
      <c r="BX47" s="4" t="s">
        <v>126</v>
      </c>
    </row>
    <row r="48" spans="1:76" x14ac:dyDescent="0.25">
      <c r="A48" s="27"/>
      <c r="C48" s="28" t="s">
        <v>68</v>
      </c>
      <c r="D48" s="28" t="s">
        <v>51</v>
      </c>
      <c r="F48" s="29">
        <v>12</v>
      </c>
      <c r="K48" s="30"/>
    </row>
    <row r="49" spans="1:76" ht="25.5" x14ac:dyDescent="0.25">
      <c r="A49" s="27"/>
      <c r="B49" s="31" t="s">
        <v>62</v>
      </c>
      <c r="C49" s="91" t="s">
        <v>127</v>
      </c>
      <c r="D49" s="92"/>
      <c r="E49" s="92"/>
      <c r="F49" s="92"/>
      <c r="G49" s="92"/>
      <c r="H49" s="92"/>
      <c r="I49" s="92"/>
      <c r="J49" s="92"/>
      <c r="K49" s="93"/>
      <c r="BX49" s="32" t="s">
        <v>127</v>
      </c>
    </row>
    <row r="50" spans="1:76" x14ac:dyDescent="0.25">
      <c r="A50" s="33" t="s">
        <v>51</v>
      </c>
      <c r="B50" s="34" t="s">
        <v>128</v>
      </c>
      <c r="C50" s="94" t="s">
        <v>129</v>
      </c>
      <c r="D50" s="95"/>
      <c r="E50" s="35" t="s">
        <v>4</v>
      </c>
      <c r="F50" s="35" t="s">
        <v>4</v>
      </c>
      <c r="G50" s="35" t="s">
        <v>4</v>
      </c>
      <c r="H50" s="1">
        <f>SUM(H51:H58)</f>
        <v>0</v>
      </c>
      <c r="I50" s="1">
        <f>SUM(I51:I58)</f>
        <v>0</v>
      </c>
      <c r="J50" s="1">
        <f>SUM(J51:J58)</f>
        <v>0</v>
      </c>
      <c r="K50" s="36" t="s">
        <v>51</v>
      </c>
      <c r="AI50" s="10" t="s">
        <v>51</v>
      </c>
      <c r="AS50" s="1">
        <f>SUM(AJ51:AJ58)</f>
        <v>0</v>
      </c>
      <c r="AT50" s="1">
        <f>SUM(AK51:AK58)</f>
        <v>0</v>
      </c>
      <c r="AU50" s="1">
        <f>SUM(AL51:AL58)</f>
        <v>0</v>
      </c>
    </row>
    <row r="51" spans="1:76" x14ac:dyDescent="0.25">
      <c r="A51" s="2" t="s">
        <v>52</v>
      </c>
      <c r="B51" s="3" t="s">
        <v>130</v>
      </c>
      <c r="C51" s="75" t="s">
        <v>131</v>
      </c>
      <c r="D51" s="70"/>
      <c r="E51" s="3" t="s">
        <v>73</v>
      </c>
      <c r="F51" s="24">
        <v>363.49099999999999</v>
      </c>
      <c r="G51" s="24">
        <v>0</v>
      </c>
      <c r="H51" s="24">
        <f>ROUND(F51*AO51,2)</f>
        <v>0</v>
      </c>
      <c r="I51" s="24">
        <f>ROUND(F51*AP51,2)</f>
        <v>0</v>
      </c>
      <c r="J51" s="24">
        <f>ROUND(F51*G51,2)</f>
        <v>0</v>
      </c>
      <c r="K51" s="25" t="s">
        <v>74</v>
      </c>
      <c r="Z51" s="24">
        <f>ROUND(IF(AQ51="5",BJ51,0),2)</f>
        <v>0</v>
      </c>
      <c r="AB51" s="24">
        <f>ROUND(IF(AQ51="1",BH51,0),2)</f>
        <v>0</v>
      </c>
      <c r="AC51" s="24">
        <f>ROUND(IF(AQ51="1",BI51,0),2)</f>
        <v>0</v>
      </c>
      <c r="AD51" s="24">
        <f>ROUND(IF(AQ51="7",BH51,0),2)</f>
        <v>0</v>
      </c>
      <c r="AE51" s="24">
        <f>ROUND(IF(AQ51="7",BI51,0),2)</f>
        <v>0</v>
      </c>
      <c r="AF51" s="24">
        <f>ROUND(IF(AQ51="2",BH51,0),2)</f>
        <v>0</v>
      </c>
      <c r="AG51" s="24">
        <f>ROUND(IF(AQ51="2",BI51,0),2)</f>
        <v>0</v>
      </c>
      <c r="AH51" s="24">
        <f>ROUND(IF(AQ51="0",BJ51,0),2)</f>
        <v>0</v>
      </c>
      <c r="AI51" s="10" t="s">
        <v>51</v>
      </c>
      <c r="AJ51" s="24">
        <f>IF(AN51=0,J51,0)</f>
        <v>0</v>
      </c>
      <c r="AK51" s="24">
        <f>IF(AN51=12,J51,0)</f>
        <v>0</v>
      </c>
      <c r="AL51" s="24">
        <f>IF(AN51=21,J51,0)</f>
        <v>0</v>
      </c>
      <c r="AN51" s="24">
        <v>21</v>
      </c>
      <c r="AO51" s="24">
        <f>G51*0</f>
        <v>0</v>
      </c>
      <c r="AP51" s="24">
        <f>G51*(1-0)</f>
        <v>0</v>
      </c>
      <c r="AQ51" s="26" t="s">
        <v>54</v>
      </c>
      <c r="AV51" s="24">
        <f>ROUND(AW51+AX51,2)</f>
        <v>0</v>
      </c>
      <c r="AW51" s="24">
        <f>ROUND(F51*AO51,2)</f>
        <v>0</v>
      </c>
      <c r="AX51" s="24">
        <f>ROUND(F51*AP51,2)</f>
        <v>0</v>
      </c>
      <c r="AY51" s="26" t="s">
        <v>132</v>
      </c>
      <c r="AZ51" s="26" t="s">
        <v>60</v>
      </c>
      <c r="BA51" s="10" t="s">
        <v>61</v>
      </c>
      <c r="BC51" s="24">
        <f>AW51+AX51</f>
        <v>0</v>
      </c>
      <c r="BD51" s="24">
        <f>G51/(100-BE51)*100</f>
        <v>0</v>
      </c>
      <c r="BE51" s="24">
        <v>0</v>
      </c>
      <c r="BF51" s="24">
        <f>51</f>
        <v>51</v>
      </c>
      <c r="BH51" s="24">
        <f>F51*AO51</f>
        <v>0</v>
      </c>
      <c r="BI51" s="24">
        <f>F51*AP51</f>
        <v>0</v>
      </c>
      <c r="BJ51" s="24">
        <f>F51*G51</f>
        <v>0</v>
      </c>
      <c r="BK51" s="24"/>
      <c r="BL51" s="24">
        <v>16</v>
      </c>
      <c r="BW51" s="24">
        <v>21</v>
      </c>
      <c r="BX51" s="4" t="s">
        <v>131</v>
      </c>
    </row>
    <row r="52" spans="1:76" x14ac:dyDescent="0.25">
      <c r="A52" s="27"/>
      <c r="C52" s="28" t="s">
        <v>85</v>
      </c>
      <c r="D52" s="28" t="s">
        <v>133</v>
      </c>
      <c r="F52" s="29">
        <v>245.4</v>
      </c>
      <c r="K52" s="30"/>
    </row>
    <row r="53" spans="1:76" x14ac:dyDescent="0.25">
      <c r="A53" s="27"/>
      <c r="C53" s="28" t="s">
        <v>134</v>
      </c>
      <c r="D53" s="28" t="s">
        <v>135</v>
      </c>
      <c r="F53" s="29">
        <v>55.8</v>
      </c>
      <c r="K53" s="30"/>
    </row>
    <row r="54" spans="1:76" x14ac:dyDescent="0.25">
      <c r="A54" s="27"/>
      <c r="C54" s="28" t="s">
        <v>105</v>
      </c>
      <c r="D54" s="28" t="s">
        <v>136</v>
      </c>
      <c r="F54" s="29">
        <v>13.491</v>
      </c>
      <c r="K54" s="30"/>
    </row>
    <row r="55" spans="1:76" x14ac:dyDescent="0.25">
      <c r="A55" s="27"/>
      <c r="C55" s="28" t="s">
        <v>68</v>
      </c>
      <c r="D55" s="28" t="s">
        <v>137</v>
      </c>
      <c r="F55" s="29">
        <v>12</v>
      </c>
      <c r="K55" s="30"/>
    </row>
    <row r="56" spans="1:76" x14ac:dyDescent="0.25">
      <c r="A56" s="27"/>
      <c r="C56" s="28" t="s">
        <v>138</v>
      </c>
      <c r="D56" s="28" t="s">
        <v>139</v>
      </c>
      <c r="F56" s="29">
        <v>35</v>
      </c>
      <c r="K56" s="30"/>
    </row>
    <row r="57" spans="1:76" x14ac:dyDescent="0.25">
      <c r="A57" s="27"/>
      <c r="C57" s="28" t="s">
        <v>140</v>
      </c>
      <c r="D57" s="28" t="s">
        <v>141</v>
      </c>
      <c r="F57" s="29">
        <v>1.8</v>
      </c>
      <c r="K57" s="30"/>
    </row>
    <row r="58" spans="1:76" x14ac:dyDescent="0.25">
      <c r="A58" s="2" t="s">
        <v>68</v>
      </c>
      <c r="B58" s="3" t="s">
        <v>142</v>
      </c>
      <c r="C58" s="75" t="s">
        <v>143</v>
      </c>
      <c r="D58" s="70"/>
      <c r="E58" s="3" t="s">
        <v>73</v>
      </c>
      <c r="F58" s="24">
        <v>363.49099999999999</v>
      </c>
      <c r="G58" s="24">
        <v>0</v>
      </c>
      <c r="H58" s="24">
        <f>ROUND(F58*AO58,2)</f>
        <v>0</v>
      </c>
      <c r="I58" s="24">
        <f>ROUND(F58*AP58,2)</f>
        <v>0</v>
      </c>
      <c r="J58" s="24">
        <f>ROUND(F58*G58,2)</f>
        <v>0</v>
      </c>
      <c r="K58" s="25" t="s">
        <v>74</v>
      </c>
      <c r="Z58" s="24">
        <f>ROUND(IF(AQ58="5",BJ58,0),2)</f>
        <v>0</v>
      </c>
      <c r="AB58" s="24">
        <f>ROUND(IF(AQ58="1",BH58,0),2)</f>
        <v>0</v>
      </c>
      <c r="AC58" s="24">
        <f>ROUND(IF(AQ58="1",BI58,0),2)</f>
        <v>0</v>
      </c>
      <c r="AD58" s="24">
        <f>ROUND(IF(AQ58="7",BH58,0),2)</f>
        <v>0</v>
      </c>
      <c r="AE58" s="24">
        <f>ROUND(IF(AQ58="7",BI58,0),2)</f>
        <v>0</v>
      </c>
      <c r="AF58" s="24">
        <f>ROUND(IF(AQ58="2",BH58,0),2)</f>
        <v>0</v>
      </c>
      <c r="AG58" s="24">
        <f>ROUND(IF(AQ58="2",BI58,0),2)</f>
        <v>0</v>
      </c>
      <c r="AH58" s="24">
        <f>ROUND(IF(AQ58="0",BJ58,0),2)</f>
        <v>0</v>
      </c>
      <c r="AI58" s="10" t="s">
        <v>51</v>
      </c>
      <c r="AJ58" s="24">
        <f>IF(AN58=0,J58,0)</f>
        <v>0</v>
      </c>
      <c r="AK58" s="24">
        <f>IF(AN58=12,J58,0)</f>
        <v>0</v>
      </c>
      <c r="AL58" s="24">
        <f>IF(AN58=21,J58,0)</f>
        <v>0</v>
      </c>
      <c r="AN58" s="24">
        <v>21</v>
      </c>
      <c r="AO58" s="24">
        <f>G58*0</f>
        <v>0</v>
      </c>
      <c r="AP58" s="24">
        <f>G58*(1-0)</f>
        <v>0</v>
      </c>
      <c r="AQ58" s="26" t="s">
        <v>54</v>
      </c>
      <c r="AV58" s="24">
        <f>ROUND(AW58+AX58,2)</f>
        <v>0</v>
      </c>
      <c r="AW58" s="24">
        <f>ROUND(F58*AO58,2)</f>
        <v>0</v>
      </c>
      <c r="AX58" s="24">
        <f>ROUND(F58*AP58,2)</f>
        <v>0</v>
      </c>
      <c r="AY58" s="26" t="s">
        <v>132</v>
      </c>
      <c r="AZ58" s="26" t="s">
        <v>60</v>
      </c>
      <c r="BA58" s="10" t="s">
        <v>61</v>
      </c>
      <c r="BC58" s="24">
        <f>AW58+AX58</f>
        <v>0</v>
      </c>
      <c r="BD58" s="24">
        <f>G58/(100-BE58)*100</f>
        <v>0</v>
      </c>
      <c r="BE58" s="24">
        <v>0</v>
      </c>
      <c r="BF58" s="24">
        <f>58</f>
        <v>58</v>
      </c>
      <c r="BH58" s="24">
        <f>F58*AO58</f>
        <v>0</v>
      </c>
      <c r="BI58" s="24">
        <f>F58*AP58</f>
        <v>0</v>
      </c>
      <c r="BJ58" s="24">
        <f>F58*G58</f>
        <v>0</v>
      </c>
      <c r="BK58" s="24"/>
      <c r="BL58" s="24">
        <v>16</v>
      </c>
      <c r="BW58" s="24">
        <v>21</v>
      </c>
      <c r="BX58" s="4" t="s">
        <v>143</v>
      </c>
    </row>
    <row r="59" spans="1:76" x14ac:dyDescent="0.25">
      <c r="A59" s="27"/>
      <c r="C59" s="28" t="s">
        <v>144</v>
      </c>
      <c r="D59" s="28" t="s">
        <v>51</v>
      </c>
      <c r="F59" s="29">
        <v>361.69099999999997</v>
      </c>
      <c r="K59" s="30"/>
    </row>
    <row r="60" spans="1:76" x14ac:dyDescent="0.25">
      <c r="A60" s="27"/>
      <c r="C60" s="28" t="s">
        <v>140</v>
      </c>
      <c r="D60" s="28" t="s">
        <v>141</v>
      </c>
      <c r="F60" s="29">
        <v>1.8</v>
      </c>
      <c r="K60" s="30"/>
    </row>
    <row r="61" spans="1:76" x14ac:dyDescent="0.25">
      <c r="A61" s="33" t="s">
        <v>51</v>
      </c>
      <c r="B61" s="34" t="s">
        <v>145</v>
      </c>
      <c r="C61" s="94" t="s">
        <v>146</v>
      </c>
      <c r="D61" s="95"/>
      <c r="E61" s="35" t="s">
        <v>4</v>
      </c>
      <c r="F61" s="35" t="s">
        <v>4</v>
      </c>
      <c r="G61" s="35" t="s">
        <v>4</v>
      </c>
      <c r="H61" s="1">
        <f>SUM(H62:H62)</f>
        <v>0</v>
      </c>
      <c r="I61" s="1">
        <f>SUM(I62:I62)</f>
        <v>0</v>
      </c>
      <c r="J61" s="1">
        <f>SUM(J62:J62)</f>
        <v>0</v>
      </c>
      <c r="K61" s="36" t="s">
        <v>51</v>
      </c>
      <c r="AI61" s="10" t="s">
        <v>51</v>
      </c>
      <c r="AS61" s="1">
        <f>SUM(AJ62:AJ62)</f>
        <v>0</v>
      </c>
      <c r="AT61" s="1">
        <f>SUM(AK62:AK62)</f>
        <v>0</v>
      </c>
      <c r="AU61" s="1">
        <f>SUM(AL62:AL62)</f>
        <v>0</v>
      </c>
    </row>
    <row r="62" spans="1:76" x14ac:dyDescent="0.25">
      <c r="A62" s="2" t="s">
        <v>87</v>
      </c>
      <c r="B62" s="3" t="s">
        <v>147</v>
      </c>
      <c r="C62" s="75" t="s">
        <v>148</v>
      </c>
      <c r="D62" s="70"/>
      <c r="E62" s="3" t="s">
        <v>73</v>
      </c>
      <c r="F62" s="24">
        <v>12</v>
      </c>
      <c r="G62" s="24">
        <v>0</v>
      </c>
      <c r="H62" s="24">
        <f>ROUND(F62*AO62,2)</f>
        <v>0</v>
      </c>
      <c r="I62" s="24">
        <f>ROUND(F62*AP62,2)</f>
        <v>0</v>
      </c>
      <c r="J62" s="24">
        <f>ROUND(F62*G62,2)</f>
        <v>0</v>
      </c>
      <c r="K62" s="25" t="s">
        <v>74</v>
      </c>
      <c r="Z62" s="24">
        <f>ROUND(IF(AQ62="5",BJ62,0),2)</f>
        <v>0</v>
      </c>
      <c r="AB62" s="24">
        <f>ROUND(IF(AQ62="1",BH62,0),2)</f>
        <v>0</v>
      </c>
      <c r="AC62" s="24">
        <f>ROUND(IF(AQ62="1",BI62,0),2)</f>
        <v>0</v>
      </c>
      <c r="AD62" s="24">
        <f>ROUND(IF(AQ62="7",BH62,0),2)</f>
        <v>0</v>
      </c>
      <c r="AE62" s="24">
        <f>ROUND(IF(AQ62="7",BI62,0),2)</f>
        <v>0</v>
      </c>
      <c r="AF62" s="24">
        <f>ROUND(IF(AQ62="2",BH62,0),2)</f>
        <v>0</v>
      </c>
      <c r="AG62" s="24">
        <f>ROUND(IF(AQ62="2",BI62,0),2)</f>
        <v>0</v>
      </c>
      <c r="AH62" s="24">
        <f>ROUND(IF(AQ62="0",BJ62,0),2)</f>
        <v>0</v>
      </c>
      <c r="AI62" s="10" t="s">
        <v>51</v>
      </c>
      <c r="AJ62" s="24">
        <f>IF(AN62=0,J62,0)</f>
        <v>0</v>
      </c>
      <c r="AK62" s="24">
        <f>IF(AN62=12,J62,0)</f>
        <v>0</v>
      </c>
      <c r="AL62" s="24">
        <f>IF(AN62=21,J62,0)</f>
        <v>0</v>
      </c>
      <c r="AN62" s="24">
        <v>21</v>
      </c>
      <c r="AO62" s="24">
        <f>G62*0</f>
        <v>0</v>
      </c>
      <c r="AP62" s="24">
        <f>G62*(1-0)</f>
        <v>0</v>
      </c>
      <c r="AQ62" s="26" t="s">
        <v>54</v>
      </c>
      <c r="AV62" s="24">
        <f>ROUND(AW62+AX62,2)</f>
        <v>0</v>
      </c>
      <c r="AW62" s="24">
        <f>ROUND(F62*AO62,2)</f>
        <v>0</v>
      </c>
      <c r="AX62" s="24">
        <f>ROUND(F62*AP62,2)</f>
        <v>0</v>
      </c>
      <c r="AY62" s="26" t="s">
        <v>149</v>
      </c>
      <c r="AZ62" s="26" t="s">
        <v>60</v>
      </c>
      <c r="BA62" s="10" t="s">
        <v>61</v>
      </c>
      <c r="BC62" s="24">
        <f>AW62+AX62</f>
        <v>0</v>
      </c>
      <c r="BD62" s="24">
        <f>G62/(100-BE62)*100</f>
        <v>0</v>
      </c>
      <c r="BE62" s="24">
        <v>0</v>
      </c>
      <c r="BF62" s="24">
        <f>62</f>
        <v>62</v>
      </c>
      <c r="BH62" s="24">
        <f>F62*AO62</f>
        <v>0</v>
      </c>
      <c r="BI62" s="24">
        <f>F62*AP62</f>
        <v>0</v>
      </c>
      <c r="BJ62" s="24">
        <f>F62*G62</f>
        <v>0</v>
      </c>
      <c r="BK62" s="24"/>
      <c r="BL62" s="24">
        <v>17</v>
      </c>
      <c r="BW62" s="24">
        <v>21</v>
      </c>
      <c r="BX62" s="4" t="s">
        <v>148</v>
      </c>
    </row>
    <row r="63" spans="1:76" x14ac:dyDescent="0.25">
      <c r="A63" s="27"/>
      <c r="C63" s="28" t="s">
        <v>68</v>
      </c>
      <c r="D63" s="28" t="s">
        <v>51</v>
      </c>
      <c r="F63" s="29">
        <v>12</v>
      </c>
      <c r="K63" s="30"/>
    </row>
    <row r="64" spans="1:76" ht="25.5" x14ac:dyDescent="0.25">
      <c r="A64" s="27"/>
      <c r="B64" s="31" t="s">
        <v>62</v>
      </c>
      <c r="C64" s="91" t="s">
        <v>150</v>
      </c>
      <c r="D64" s="92"/>
      <c r="E64" s="92"/>
      <c r="F64" s="92"/>
      <c r="G64" s="92"/>
      <c r="H64" s="92"/>
      <c r="I64" s="92"/>
      <c r="J64" s="92"/>
      <c r="K64" s="93"/>
      <c r="BX64" s="32" t="s">
        <v>150</v>
      </c>
    </row>
    <row r="65" spans="1:76" x14ac:dyDescent="0.25">
      <c r="A65" s="33" t="s">
        <v>51</v>
      </c>
      <c r="B65" s="34" t="s">
        <v>151</v>
      </c>
      <c r="C65" s="94" t="s">
        <v>152</v>
      </c>
      <c r="D65" s="95"/>
      <c r="E65" s="35" t="s">
        <v>4</v>
      </c>
      <c r="F65" s="35" t="s">
        <v>4</v>
      </c>
      <c r="G65" s="35" t="s">
        <v>4</v>
      </c>
      <c r="H65" s="1">
        <f>SUM(H66:H69)</f>
        <v>0</v>
      </c>
      <c r="I65" s="1">
        <f>SUM(I66:I69)</f>
        <v>0</v>
      </c>
      <c r="J65" s="1">
        <f>SUM(J66:J69)</f>
        <v>0</v>
      </c>
      <c r="K65" s="36" t="s">
        <v>51</v>
      </c>
      <c r="AI65" s="10" t="s">
        <v>51</v>
      </c>
      <c r="AS65" s="1">
        <f>SUM(AJ66:AJ69)</f>
        <v>0</v>
      </c>
      <c r="AT65" s="1">
        <f>SUM(AK66:AK69)</f>
        <v>0</v>
      </c>
      <c r="AU65" s="1">
        <f>SUM(AL66:AL69)</f>
        <v>0</v>
      </c>
    </row>
    <row r="66" spans="1:76" x14ac:dyDescent="0.25">
      <c r="A66" s="2" t="s">
        <v>153</v>
      </c>
      <c r="B66" s="3" t="s">
        <v>154</v>
      </c>
      <c r="C66" s="75" t="s">
        <v>155</v>
      </c>
      <c r="D66" s="70"/>
      <c r="E66" s="3" t="s">
        <v>156</v>
      </c>
      <c r="F66" s="24">
        <v>812</v>
      </c>
      <c r="G66" s="24">
        <v>0</v>
      </c>
      <c r="H66" s="24">
        <f>ROUND(F66*AO66,2)</f>
        <v>0</v>
      </c>
      <c r="I66" s="24">
        <f>ROUND(F66*AP66,2)</f>
        <v>0</v>
      </c>
      <c r="J66" s="24">
        <f>ROUND(F66*G66,2)</f>
        <v>0</v>
      </c>
      <c r="K66" s="25" t="s">
        <v>74</v>
      </c>
      <c r="Z66" s="24">
        <f>ROUND(IF(AQ66="5",BJ66,0),2)</f>
        <v>0</v>
      </c>
      <c r="AB66" s="24">
        <f>ROUND(IF(AQ66="1",BH66,0),2)</f>
        <v>0</v>
      </c>
      <c r="AC66" s="24">
        <f>ROUND(IF(AQ66="1",BI66,0),2)</f>
        <v>0</v>
      </c>
      <c r="AD66" s="24">
        <f>ROUND(IF(AQ66="7",BH66,0),2)</f>
        <v>0</v>
      </c>
      <c r="AE66" s="24">
        <f>ROUND(IF(AQ66="7",BI66,0),2)</f>
        <v>0</v>
      </c>
      <c r="AF66" s="24">
        <f>ROUND(IF(AQ66="2",BH66,0),2)</f>
        <v>0</v>
      </c>
      <c r="AG66" s="24">
        <f>ROUND(IF(AQ66="2",BI66,0),2)</f>
        <v>0</v>
      </c>
      <c r="AH66" s="24">
        <f>ROUND(IF(AQ66="0",BJ66,0),2)</f>
        <v>0</v>
      </c>
      <c r="AI66" s="10" t="s">
        <v>51</v>
      </c>
      <c r="AJ66" s="24">
        <f>IF(AN66=0,J66,0)</f>
        <v>0</v>
      </c>
      <c r="AK66" s="24">
        <f>IF(AN66=12,J66,0)</f>
        <v>0</v>
      </c>
      <c r="AL66" s="24">
        <f>IF(AN66=21,J66,0)</f>
        <v>0</v>
      </c>
      <c r="AN66" s="24">
        <v>21</v>
      </c>
      <c r="AO66" s="24">
        <f>G66*0</f>
        <v>0</v>
      </c>
      <c r="AP66" s="24">
        <f>G66*(1-0)</f>
        <v>0</v>
      </c>
      <c r="AQ66" s="26" t="s">
        <v>54</v>
      </c>
      <c r="AV66" s="24">
        <f>ROUND(AW66+AX66,2)</f>
        <v>0</v>
      </c>
      <c r="AW66" s="24">
        <f>ROUND(F66*AO66,2)</f>
        <v>0</v>
      </c>
      <c r="AX66" s="24">
        <f>ROUND(F66*AP66,2)</f>
        <v>0</v>
      </c>
      <c r="AY66" s="26" t="s">
        <v>157</v>
      </c>
      <c r="AZ66" s="26" t="s">
        <v>60</v>
      </c>
      <c r="BA66" s="10" t="s">
        <v>61</v>
      </c>
      <c r="BC66" s="24">
        <f>AW66+AX66</f>
        <v>0</v>
      </c>
      <c r="BD66" s="24">
        <f>G66/(100-BE66)*100</f>
        <v>0</v>
      </c>
      <c r="BE66" s="24">
        <v>0</v>
      </c>
      <c r="BF66" s="24">
        <f>66</f>
        <v>66</v>
      </c>
      <c r="BH66" s="24">
        <f>F66*AO66</f>
        <v>0</v>
      </c>
      <c r="BI66" s="24">
        <f>F66*AP66</f>
        <v>0</v>
      </c>
      <c r="BJ66" s="24">
        <f>F66*G66</f>
        <v>0</v>
      </c>
      <c r="BK66" s="24"/>
      <c r="BL66" s="24">
        <v>18</v>
      </c>
      <c r="BW66" s="24">
        <v>21</v>
      </c>
      <c r="BX66" s="4" t="s">
        <v>155</v>
      </c>
    </row>
    <row r="67" spans="1:76" x14ac:dyDescent="0.25">
      <c r="A67" s="27"/>
      <c r="C67" s="28" t="s">
        <v>158</v>
      </c>
      <c r="D67" s="28" t="s">
        <v>51</v>
      </c>
      <c r="F67" s="29">
        <v>800</v>
      </c>
      <c r="K67" s="30"/>
    </row>
    <row r="68" spans="1:76" x14ac:dyDescent="0.25">
      <c r="A68" s="27"/>
      <c r="C68" s="28" t="s">
        <v>159</v>
      </c>
      <c r="D68" s="28" t="s">
        <v>51</v>
      </c>
      <c r="F68" s="29">
        <v>12</v>
      </c>
      <c r="K68" s="30"/>
    </row>
    <row r="69" spans="1:76" x14ac:dyDescent="0.25">
      <c r="A69" s="2" t="s">
        <v>160</v>
      </c>
      <c r="B69" s="3" t="s">
        <v>161</v>
      </c>
      <c r="C69" s="75" t="s">
        <v>162</v>
      </c>
      <c r="D69" s="70"/>
      <c r="E69" s="3" t="s">
        <v>156</v>
      </c>
      <c r="F69" s="24">
        <v>400</v>
      </c>
      <c r="G69" s="24">
        <v>0</v>
      </c>
      <c r="H69" s="24">
        <f>ROUND(F69*AO69,2)</f>
        <v>0</v>
      </c>
      <c r="I69" s="24">
        <f>ROUND(F69*AP69,2)</f>
        <v>0</v>
      </c>
      <c r="J69" s="24">
        <f>ROUND(F69*G69,2)</f>
        <v>0</v>
      </c>
      <c r="K69" s="25" t="s">
        <v>58</v>
      </c>
      <c r="Z69" s="24">
        <f>ROUND(IF(AQ69="5",BJ69,0),2)</f>
        <v>0</v>
      </c>
      <c r="AB69" s="24">
        <f>ROUND(IF(AQ69="1",BH69,0),2)</f>
        <v>0</v>
      </c>
      <c r="AC69" s="24">
        <f>ROUND(IF(AQ69="1",BI69,0),2)</f>
        <v>0</v>
      </c>
      <c r="AD69" s="24">
        <f>ROUND(IF(AQ69="7",BH69,0),2)</f>
        <v>0</v>
      </c>
      <c r="AE69" s="24">
        <f>ROUND(IF(AQ69="7",BI69,0),2)</f>
        <v>0</v>
      </c>
      <c r="AF69" s="24">
        <f>ROUND(IF(AQ69="2",BH69,0),2)</f>
        <v>0</v>
      </c>
      <c r="AG69" s="24">
        <f>ROUND(IF(AQ69="2",BI69,0),2)</f>
        <v>0</v>
      </c>
      <c r="AH69" s="24">
        <f>ROUND(IF(AQ69="0",BJ69,0),2)</f>
        <v>0</v>
      </c>
      <c r="AI69" s="10" t="s">
        <v>51</v>
      </c>
      <c r="AJ69" s="24">
        <f>IF(AN69=0,J69,0)</f>
        <v>0</v>
      </c>
      <c r="AK69" s="24">
        <f>IF(AN69=12,J69,0)</f>
        <v>0</v>
      </c>
      <c r="AL69" s="24">
        <f>IF(AN69=21,J69,0)</f>
        <v>0</v>
      </c>
      <c r="AN69" s="24">
        <v>21</v>
      </c>
      <c r="AO69" s="24">
        <f>G69*0.064325843</f>
        <v>0</v>
      </c>
      <c r="AP69" s="24">
        <f>G69*(1-0.064325843)</f>
        <v>0</v>
      </c>
      <c r="AQ69" s="26" t="s">
        <v>54</v>
      </c>
      <c r="AV69" s="24">
        <f>ROUND(AW69+AX69,2)</f>
        <v>0</v>
      </c>
      <c r="AW69" s="24">
        <f>ROUND(F69*AO69,2)</f>
        <v>0</v>
      </c>
      <c r="AX69" s="24">
        <f>ROUND(F69*AP69,2)</f>
        <v>0</v>
      </c>
      <c r="AY69" s="26" t="s">
        <v>157</v>
      </c>
      <c r="AZ69" s="26" t="s">
        <v>60</v>
      </c>
      <c r="BA69" s="10" t="s">
        <v>61</v>
      </c>
      <c r="BC69" s="24">
        <f>AW69+AX69</f>
        <v>0</v>
      </c>
      <c r="BD69" s="24">
        <f>G69/(100-BE69)*100</f>
        <v>0</v>
      </c>
      <c r="BE69" s="24">
        <v>0</v>
      </c>
      <c r="BF69" s="24">
        <f>69</f>
        <v>69</v>
      </c>
      <c r="BH69" s="24">
        <f>F69*AO69</f>
        <v>0</v>
      </c>
      <c r="BI69" s="24">
        <f>F69*AP69</f>
        <v>0</v>
      </c>
      <c r="BJ69" s="24">
        <f>F69*G69</f>
        <v>0</v>
      </c>
      <c r="BK69" s="24"/>
      <c r="BL69" s="24">
        <v>18</v>
      </c>
      <c r="BW69" s="24">
        <v>21</v>
      </c>
      <c r="BX69" s="4" t="s">
        <v>162</v>
      </c>
    </row>
    <row r="70" spans="1:76" x14ac:dyDescent="0.25">
      <c r="A70" s="27"/>
      <c r="C70" s="28" t="s">
        <v>163</v>
      </c>
      <c r="D70" s="28" t="s">
        <v>51</v>
      </c>
      <c r="F70" s="29">
        <v>400</v>
      </c>
      <c r="K70" s="30"/>
    </row>
    <row r="71" spans="1:76" x14ac:dyDescent="0.25">
      <c r="A71" s="27"/>
      <c r="B71" s="31" t="s">
        <v>62</v>
      </c>
      <c r="C71" s="91" t="s">
        <v>164</v>
      </c>
      <c r="D71" s="92"/>
      <c r="E71" s="92"/>
      <c r="F71" s="92"/>
      <c r="G71" s="92"/>
      <c r="H71" s="92"/>
      <c r="I71" s="92"/>
      <c r="J71" s="92"/>
      <c r="K71" s="93"/>
      <c r="BX71" s="32" t="s">
        <v>164</v>
      </c>
    </row>
    <row r="72" spans="1:76" x14ac:dyDescent="0.25">
      <c r="A72" s="33" t="s">
        <v>51</v>
      </c>
      <c r="B72" s="34" t="s">
        <v>165</v>
      </c>
      <c r="C72" s="94" t="s">
        <v>166</v>
      </c>
      <c r="D72" s="95"/>
      <c r="E72" s="35" t="s">
        <v>4</v>
      </c>
      <c r="F72" s="35" t="s">
        <v>4</v>
      </c>
      <c r="G72" s="35" t="s">
        <v>4</v>
      </c>
      <c r="H72" s="1">
        <f>SUM(H73:H87)</f>
        <v>0</v>
      </c>
      <c r="I72" s="1">
        <f>SUM(I73:I87)</f>
        <v>0</v>
      </c>
      <c r="J72" s="1">
        <f>SUM(J73:J87)</f>
        <v>0</v>
      </c>
      <c r="K72" s="36" t="s">
        <v>51</v>
      </c>
      <c r="AI72" s="10" t="s">
        <v>51</v>
      </c>
      <c r="AS72" s="1">
        <f>SUM(AJ73:AJ87)</f>
        <v>0</v>
      </c>
      <c r="AT72" s="1">
        <f>SUM(AK73:AK87)</f>
        <v>0</v>
      </c>
      <c r="AU72" s="1">
        <f>SUM(AL73:AL87)</f>
        <v>0</v>
      </c>
    </row>
    <row r="73" spans="1:76" x14ac:dyDescent="0.25">
      <c r="A73" s="2" t="s">
        <v>128</v>
      </c>
      <c r="B73" s="3" t="s">
        <v>167</v>
      </c>
      <c r="C73" s="75" t="s">
        <v>168</v>
      </c>
      <c r="D73" s="70"/>
      <c r="E73" s="3" t="s">
        <v>169</v>
      </c>
      <c r="F73" s="24">
        <v>200</v>
      </c>
      <c r="G73" s="24">
        <v>0</v>
      </c>
      <c r="H73" s="24">
        <f>ROUND(F73*AO73,2)</f>
        <v>0</v>
      </c>
      <c r="I73" s="24">
        <f>ROUND(F73*AP73,2)</f>
        <v>0</v>
      </c>
      <c r="J73" s="24">
        <f>ROUND(F73*G73,2)</f>
        <v>0</v>
      </c>
      <c r="K73" s="25" t="s">
        <v>74</v>
      </c>
      <c r="Z73" s="24">
        <f>ROUND(IF(AQ73="5",BJ73,0),2)</f>
        <v>0</v>
      </c>
      <c r="AB73" s="24">
        <f>ROUND(IF(AQ73="1",BH73,0),2)</f>
        <v>0</v>
      </c>
      <c r="AC73" s="24">
        <f>ROUND(IF(AQ73="1",BI73,0),2)</f>
        <v>0</v>
      </c>
      <c r="AD73" s="24">
        <f>ROUND(IF(AQ73="7",BH73,0),2)</f>
        <v>0</v>
      </c>
      <c r="AE73" s="24">
        <f>ROUND(IF(AQ73="7",BI73,0),2)</f>
        <v>0</v>
      </c>
      <c r="AF73" s="24">
        <f>ROUND(IF(AQ73="2",BH73,0),2)</f>
        <v>0</v>
      </c>
      <c r="AG73" s="24">
        <f>ROUND(IF(AQ73="2",BI73,0),2)</f>
        <v>0</v>
      </c>
      <c r="AH73" s="24">
        <f>ROUND(IF(AQ73="0",BJ73,0),2)</f>
        <v>0</v>
      </c>
      <c r="AI73" s="10" t="s">
        <v>51</v>
      </c>
      <c r="AJ73" s="24">
        <f>IF(AN73=0,J73,0)</f>
        <v>0</v>
      </c>
      <c r="AK73" s="24">
        <f>IF(AN73=12,J73,0)</f>
        <v>0</v>
      </c>
      <c r="AL73" s="24">
        <f>IF(AN73=21,J73,0)</f>
        <v>0</v>
      </c>
      <c r="AN73" s="24">
        <v>21</v>
      </c>
      <c r="AO73" s="24">
        <f>G73*0.410952866</f>
        <v>0</v>
      </c>
      <c r="AP73" s="24">
        <f>G73*(1-0.410952866)</f>
        <v>0</v>
      </c>
      <c r="AQ73" s="26" t="s">
        <v>54</v>
      </c>
      <c r="AV73" s="24">
        <f>ROUND(AW73+AX73,2)</f>
        <v>0</v>
      </c>
      <c r="AW73" s="24">
        <f>ROUND(F73*AO73,2)</f>
        <v>0</v>
      </c>
      <c r="AX73" s="24">
        <f>ROUND(F73*AP73,2)</f>
        <v>0</v>
      </c>
      <c r="AY73" s="26" t="s">
        <v>170</v>
      </c>
      <c r="AZ73" s="26" t="s">
        <v>171</v>
      </c>
      <c r="BA73" s="10" t="s">
        <v>61</v>
      </c>
      <c r="BC73" s="24">
        <f>AW73+AX73</f>
        <v>0</v>
      </c>
      <c r="BD73" s="24">
        <f>G73/(100-BE73)*100</f>
        <v>0</v>
      </c>
      <c r="BE73" s="24">
        <v>0</v>
      </c>
      <c r="BF73" s="24">
        <f>73</f>
        <v>73</v>
      </c>
      <c r="BH73" s="24">
        <f>F73*AO73</f>
        <v>0</v>
      </c>
      <c r="BI73" s="24">
        <f>F73*AP73</f>
        <v>0</v>
      </c>
      <c r="BJ73" s="24">
        <f>F73*G73</f>
        <v>0</v>
      </c>
      <c r="BK73" s="24"/>
      <c r="BL73" s="24">
        <v>21</v>
      </c>
      <c r="BW73" s="24">
        <v>21</v>
      </c>
      <c r="BX73" s="4" t="s">
        <v>168</v>
      </c>
    </row>
    <row r="74" spans="1:76" x14ac:dyDescent="0.25">
      <c r="A74" s="27"/>
      <c r="C74" s="28" t="s">
        <v>172</v>
      </c>
      <c r="D74" s="28" t="s">
        <v>173</v>
      </c>
      <c r="F74" s="29">
        <v>200</v>
      </c>
      <c r="K74" s="30"/>
    </row>
    <row r="75" spans="1:76" x14ac:dyDescent="0.25">
      <c r="A75" s="27"/>
      <c r="B75" s="31" t="s">
        <v>62</v>
      </c>
      <c r="C75" s="91" t="s">
        <v>174</v>
      </c>
      <c r="D75" s="92"/>
      <c r="E75" s="92"/>
      <c r="F75" s="92"/>
      <c r="G75" s="92"/>
      <c r="H75" s="92"/>
      <c r="I75" s="92"/>
      <c r="J75" s="92"/>
      <c r="K75" s="93"/>
      <c r="BX75" s="32" t="s">
        <v>174</v>
      </c>
    </row>
    <row r="76" spans="1:76" x14ac:dyDescent="0.25">
      <c r="A76" s="2" t="s">
        <v>145</v>
      </c>
      <c r="B76" s="3" t="s">
        <v>175</v>
      </c>
      <c r="C76" s="75" t="s">
        <v>176</v>
      </c>
      <c r="D76" s="70"/>
      <c r="E76" s="3" t="s">
        <v>169</v>
      </c>
      <c r="F76" s="24">
        <v>70</v>
      </c>
      <c r="G76" s="24">
        <v>0</v>
      </c>
      <c r="H76" s="24">
        <f>ROUND(F76*AO76,2)</f>
        <v>0</v>
      </c>
      <c r="I76" s="24">
        <f>ROUND(F76*AP76,2)</f>
        <v>0</v>
      </c>
      <c r="J76" s="24">
        <f>ROUND(F76*G76,2)</f>
        <v>0</v>
      </c>
      <c r="K76" s="25" t="s">
        <v>74</v>
      </c>
      <c r="Z76" s="24">
        <f>ROUND(IF(AQ76="5",BJ76,0),2)</f>
        <v>0</v>
      </c>
      <c r="AB76" s="24">
        <f>ROUND(IF(AQ76="1",BH76,0),2)</f>
        <v>0</v>
      </c>
      <c r="AC76" s="24">
        <f>ROUND(IF(AQ76="1",BI76,0),2)</f>
        <v>0</v>
      </c>
      <c r="AD76" s="24">
        <f>ROUND(IF(AQ76="7",BH76,0),2)</f>
        <v>0</v>
      </c>
      <c r="AE76" s="24">
        <f>ROUND(IF(AQ76="7",BI76,0),2)</f>
        <v>0</v>
      </c>
      <c r="AF76" s="24">
        <f>ROUND(IF(AQ76="2",BH76,0),2)</f>
        <v>0</v>
      </c>
      <c r="AG76" s="24">
        <f>ROUND(IF(AQ76="2",BI76,0),2)</f>
        <v>0</v>
      </c>
      <c r="AH76" s="24">
        <f>ROUND(IF(AQ76="0",BJ76,0),2)</f>
        <v>0</v>
      </c>
      <c r="AI76" s="10" t="s">
        <v>51</v>
      </c>
      <c r="AJ76" s="24">
        <f>IF(AN76=0,J76,0)</f>
        <v>0</v>
      </c>
      <c r="AK76" s="24">
        <f>IF(AN76=12,J76,0)</f>
        <v>0</v>
      </c>
      <c r="AL76" s="24">
        <f>IF(AN76=21,J76,0)</f>
        <v>0</v>
      </c>
      <c r="AN76" s="24">
        <v>21</v>
      </c>
      <c r="AO76" s="24">
        <f>G76*0.504071332</f>
        <v>0</v>
      </c>
      <c r="AP76" s="24">
        <f>G76*(1-0.504071332)</f>
        <v>0</v>
      </c>
      <c r="AQ76" s="26" t="s">
        <v>54</v>
      </c>
      <c r="AV76" s="24">
        <f>ROUND(AW76+AX76,2)</f>
        <v>0</v>
      </c>
      <c r="AW76" s="24">
        <f>ROUND(F76*AO76,2)</f>
        <v>0</v>
      </c>
      <c r="AX76" s="24">
        <f>ROUND(F76*AP76,2)</f>
        <v>0</v>
      </c>
      <c r="AY76" s="26" t="s">
        <v>170</v>
      </c>
      <c r="AZ76" s="26" t="s">
        <v>171</v>
      </c>
      <c r="BA76" s="10" t="s">
        <v>61</v>
      </c>
      <c r="BC76" s="24">
        <f>AW76+AX76</f>
        <v>0</v>
      </c>
      <c r="BD76" s="24">
        <f>G76/(100-BE76)*100</f>
        <v>0</v>
      </c>
      <c r="BE76" s="24">
        <v>0</v>
      </c>
      <c r="BF76" s="24">
        <f>76</f>
        <v>76</v>
      </c>
      <c r="BH76" s="24">
        <f>F76*AO76</f>
        <v>0</v>
      </c>
      <c r="BI76" s="24">
        <f>F76*AP76</f>
        <v>0</v>
      </c>
      <c r="BJ76" s="24">
        <f>F76*G76</f>
        <v>0</v>
      </c>
      <c r="BK76" s="24"/>
      <c r="BL76" s="24">
        <v>21</v>
      </c>
      <c r="BW76" s="24">
        <v>21</v>
      </c>
      <c r="BX76" s="4" t="s">
        <v>176</v>
      </c>
    </row>
    <row r="77" spans="1:76" x14ac:dyDescent="0.25">
      <c r="A77" s="27"/>
      <c r="C77" s="28" t="s">
        <v>177</v>
      </c>
      <c r="D77" s="28" t="s">
        <v>178</v>
      </c>
      <c r="F77" s="29">
        <v>30</v>
      </c>
      <c r="K77" s="30"/>
    </row>
    <row r="78" spans="1:76" x14ac:dyDescent="0.25">
      <c r="A78" s="27"/>
      <c r="C78" s="28" t="s">
        <v>179</v>
      </c>
      <c r="D78" s="28" t="s">
        <v>180</v>
      </c>
      <c r="F78" s="29">
        <v>40</v>
      </c>
      <c r="K78" s="30"/>
    </row>
    <row r="79" spans="1:76" x14ac:dyDescent="0.25">
      <c r="A79" s="27"/>
      <c r="C79" s="28" t="s">
        <v>51</v>
      </c>
      <c r="D79" s="28" t="s">
        <v>181</v>
      </c>
      <c r="F79" s="29">
        <v>0</v>
      </c>
      <c r="K79" s="30"/>
    </row>
    <row r="80" spans="1:76" x14ac:dyDescent="0.25">
      <c r="A80" s="27"/>
      <c r="B80" s="31" t="s">
        <v>62</v>
      </c>
      <c r="C80" s="91" t="s">
        <v>174</v>
      </c>
      <c r="D80" s="92"/>
      <c r="E80" s="92"/>
      <c r="F80" s="92"/>
      <c r="G80" s="92"/>
      <c r="H80" s="92"/>
      <c r="I80" s="92"/>
      <c r="J80" s="92"/>
      <c r="K80" s="93"/>
      <c r="BX80" s="32" t="s">
        <v>174</v>
      </c>
    </row>
    <row r="81" spans="1:76" x14ac:dyDescent="0.25">
      <c r="A81" s="2" t="s">
        <v>151</v>
      </c>
      <c r="B81" s="3" t="s">
        <v>182</v>
      </c>
      <c r="C81" s="75" t="s">
        <v>183</v>
      </c>
      <c r="D81" s="70"/>
      <c r="E81" s="3" t="s">
        <v>73</v>
      </c>
      <c r="F81" s="24">
        <v>40</v>
      </c>
      <c r="G81" s="24">
        <v>0</v>
      </c>
      <c r="H81" s="24">
        <f>ROUND(F81*AO81,2)</f>
        <v>0</v>
      </c>
      <c r="I81" s="24">
        <f>ROUND(F81*AP81,2)</f>
        <v>0</v>
      </c>
      <c r="J81" s="24">
        <f>ROUND(F81*G81,2)</f>
        <v>0</v>
      </c>
      <c r="K81" s="25" t="s">
        <v>74</v>
      </c>
      <c r="Z81" s="24">
        <f>ROUND(IF(AQ81="5",BJ81,0),2)</f>
        <v>0</v>
      </c>
      <c r="AB81" s="24">
        <f>ROUND(IF(AQ81="1",BH81,0),2)</f>
        <v>0</v>
      </c>
      <c r="AC81" s="24">
        <f>ROUND(IF(AQ81="1",BI81,0),2)</f>
        <v>0</v>
      </c>
      <c r="AD81" s="24">
        <f>ROUND(IF(AQ81="7",BH81,0),2)</f>
        <v>0</v>
      </c>
      <c r="AE81" s="24">
        <f>ROUND(IF(AQ81="7",BI81,0),2)</f>
        <v>0</v>
      </c>
      <c r="AF81" s="24">
        <f>ROUND(IF(AQ81="2",BH81,0),2)</f>
        <v>0</v>
      </c>
      <c r="AG81" s="24">
        <f>ROUND(IF(AQ81="2",BI81,0),2)</f>
        <v>0</v>
      </c>
      <c r="AH81" s="24">
        <f>ROUND(IF(AQ81="0",BJ81,0),2)</f>
        <v>0</v>
      </c>
      <c r="AI81" s="10" t="s">
        <v>51</v>
      </c>
      <c r="AJ81" s="24">
        <f>IF(AN81=0,J81,0)</f>
        <v>0</v>
      </c>
      <c r="AK81" s="24">
        <f>IF(AN81=12,J81,0)</f>
        <v>0</v>
      </c>
      <c r="AL81" s="24">
        <f>IF(AN81=21,J81,0)</f>
        <v>0</v>
      </c>
      <c r="AN81" s="24">
        <v>21</v>
      </c>
      <c r="AO81" s="24">
        <f>G81*0.561644592</f>
        <v>0</v>
      </c>
      <c r="AP81" s="24">
        <f>G81*(1-0.561644592)</f>
        <v>0</v>
      </c>
      <c r="AQ81" s="26" t="s">
        <v>54</v>
      </c>
      <c r="AV81" s="24">
        <f>ROUND(AW81+AX81,2)</f>
        <v>0</v>
      </c>
      <c r="AW81" s="24">
        <f>ROUND(F81*AO81,2)</f>
        <v>0</v>
      </c>
      <c r="AX81" s="24">
        <f>ROUND(F81*AP81,2)</f>
        <v>0</v>
      </c>
      <c r="AY81" s="26" t="s">
        <v>170</v>
      </c>
      <c r="AZ81" s="26" t="s">
        <v>171</v>
      </c>
      <c r="BA81" s="10" t="s">
        <v>61</v>
      </c>
      <c r="BC81" s="24">
        <f>AW81+AX81</f>
        <v>0</v>
      </c>
      <c r="BD81" s="24">
        <f>G81/(100-BE81)*100</f>
        <v>0</v>
      </c>
      <c r="BE81" s="24">
        <v>0</v>
      </c>
      <c r="BF81" s="24">
        <f>81</f>
        <v>81</v>
      </c>
      <c r="BH81" s="24">
        <f>F81*AO81</f>
        <v>0</v>
      </c>
      <c r="BI81" s="24">
        <f>F81*AP81</f>
        <v>0</v>
      </c>
      <c r="BJ81" s="24">
        <f>F81*G81</f>
        <v>0</v>
      </c>
      <c r="BK81" s="24"/>
      <c r="BL81" s="24">
        <v>21</v>
      </c>
      <c r="BW81" s="24">
        <v>21</v>
      </c>
      <c r="BX81" s="4" t="s">
        <v>183</v>
      </c>
    </row>
    <row r="82" spans="1:76" x14ac:dyDescent="0.25">
      <c r="A82" s="27"/>
      <c r="C82" s="28" t="s">
        <v>184</v>
      </c>
      <c r="D82" s="28" t="s">
        <v>185</v>
      </c>
      <c r="F82" s="29">
        <v>40</v>
      </c>
      <c r="K82" s="30"/>
    </row>
    <row r="83" spans="1:76" ht="25.5" x14ac:dyDescent="0.25">
      <c r="A83" s="27"/>
      <c r="B83" s="31" t="s">
        <v>62</v>
      </c>
      <c r="C83" s="91" t="s">
        <v>186</v>
      </c>
      <c r="D83" s="92"/>
      <c r="E83" s="92"/>
      <c r="F83" s="92"/>
      <c r="G83" s="92"/>
      <c r="H83" s="92"/>
      <c r="I83" s="92"/>
      <c r="J83" s="92"/>
      <c r="K83" s="93"/>
      <c r="BX83" s="32" t="s">
        <v>186</v>
      </c>
    </row>
    <row r="84" spans="1:76" x14ac:dyDescent="0.25">
      <c r="A84" s="2" t="s">
        <v>187</v>
      </c>
      <c r="B84" s="3" t="s">
        <v>188</v>
      </c>
      <c r="C84" s="75" t="s">
        <v>189</v>
      </c>
      <c r="D84" s="70"/>
      <c r="E84" s="3" t="s">
        <v>73</v>
      </c>
      <c r="F84" s="24">
        <v>37.799999999999997</v>
      </c>
      <c r="G84" s="24">
        <v>0</v>
      </c>
      <c r="H84" s="24">
        <f>ROUND(F84*AO84,2)</f>
        <v>0</v>
      </c>
      <c r="I84" s="24">
        <f>ROUND(F84*AP84,2)</f>
        <v>0</v>
      </c>
      <c r="J84" s="24">
        <f>ROUND(F84*G84,2)</f>
        <v>0</v>
      </c>
      <c r="K84" s="25" t="s">
        <v>74</v>
      </c>
      <c r="Z84" s="24">
        <f>ROUND(IF(AQ84="5",BJ84,0),2)</f>
        <v>0</v>
      </c>
      <c r="AB84" s="24">
        <f>ROUND(IF(AQ84="1",BH84,0),2)</f>
        <v>0</v>
      </c>
      <c r="AC84" s="24">
        <f>ROUND(IF(AQ84="1",BI84,0),2)</f>
        <v>0</v>
      </c>
      <c r="AD84" s="24">
        <f>ROUND(IF(AQ84="7",BH84,0),2)</f>
        <v>0</v>
      </c>
      <c r="AE84" s="24">
        <f>ROUND(IF(AQ84="7",BI84,0),2)</f>
        <v>0</v>
      </c>
      <c r="AF84" s="24">
        <f>ROUND(IF(AQ84="2",BH84,0),2)</f>
        <v>0</v>
      </c>
      <c r="AG84" s="24">
        <f>ROUND(IF(AQ84="2",BI84,0),2)</f>
        <v>0</v>
      </c>
      <c r="AH84" s="24">
        <f>ROUND(IF(AQ84="0",BJ84,0),2)</f>
        <v>0</v>
      </c>
      <c r="AI84" s="10" t="s">
        <v>51</v>
      </c>
      <c r="AJ84" s="24">
        <f>IF(AN84=0,J84,0)</f>
        <v>0</v>
      </c>
      <c r="AK84" s="24">
        <f>IF(AN84=12,J84,0)</f>
        <v>0</v>
      </c>
      <c r="AL84" s="24">
        <f>IF(AN84=21,J84,0)</f>
        <v>0</v>
      </c>
      <c r="AN84" s="24">
        <v>21</v>
      </c>
      <c r="AO84" s="24">
        <f>G84*0</f>
        <v>0</v>
      </c>
      <c r="AP84" s="24">
        <f>G84*(1-0)</f>
        <v>0</v>
      </c>
      <c r="AQ84" s="26" t="s">
        <v>54</v>
      </c>
      <c r="AV84" s="24">
        <f>ROUND(AW84+AX84,2)</f>
        <v>0</v>
      </c>
      <c r="AW84" s="24">
        <f>ROUND(F84*AO84,2)</f>
        <v>0</v>
      </c>
      <c r="AX84" s="24">
        <f>ROUND(F84*AP84,2)</f>
        <v>0</v>
      </c>
      <c r="AY84" s="26" t="s">
        <v>170</v>
      </c>
      <c r="AZ84" s="26" t="s">
        <v>171</v>
      </c>
      <c r="BA84" s="10" t="s">
        <v>61</v>
      </c>
      <c r="BC84" s="24">
        <f>AW84+AX84</f>
        <v>0</v>
      </c>
      <c r="BD84" s="24">
        <f>G84/(100-BE84)*100</f>
        <v>0</v>
      </c>
      <c r="BE84" s="24">
        <v>0</v>
      </c>
      <c r="BF84" s="24">
        <f>84</f>
        <v>84</v>
      </c>
      <c r="BH84" s="24">
        <f>F84*AO84</f>
        <v>0</v>
      </c>
      <c r="BI84" s="24">
        <f>F84*AP84</f>
        <v>0</v>
      </c>
      <c r="BJ84" s="24">
        <f>F84*G84</f>
        <v>0</v>
      </c>
      <c r="BK84" s="24"/>
      <c r="BL84" s="24">
        <v>21</v>
      </c>
      <c r="BW84" s="24">
        <v>21</v>
      </c>
      <c r="BX84" s="4" t="s">
        <v>189</v>
      </c>
    </row>
    <row r="85" spans="1:76" x14ac:dyDescent="0.25">
      <c r="A85" s="27"/>
      <c r="C85" s="28" t="s">
        <v>111</v>
      </c>
      <c r="D85" s="28" t="s">
        <v>190</v>
      </c>
      <c r="F85" s="29">
        <v>37.799999999999997</v>
      </c>
      <c r="K85" s="30"/>
    </row>
    <row r="86" spans="1:76" ht="25.5" x14ac:dyDescent="0.25">
      <c r="A86" s="27"/>
      <c r="B86" s="31" t="s">
        <v>62</v>
      </c>
      <c r="C86" s="91" t="s">
        <v>191</v>
      </c>
      <c r="D86" s="92"/>
      <c r="E86" s="92"/>
      <c r="F86" s="92"/>
      <c r="G86" s="92"/>
      <c r="H86" s="92"/>
      <c r="I86" s="92"/>
      <c r="J86" s="92"/>
      <c r="K86" s="93"/>
      <c r="BX86" s="32" t="s">
        <v>191</v>
      </c>
    </row>
    <row r="87" spans="1:76" x14ac:dyDescent="0.25">
      <c r="A87" s="2" t="s">
        <v>192</v>
      </c>
      <c r="B87" s="3" t="s">
        <v>193</v>
      </c>
      <c r="C87" s="75" t="s">
        <v>194</v>
      </c>
      <c r="D87" s="70"/>
      <c r="E87" s="3" t="s">
        <v>195</v>
      </c>
      <c r="F87" s="24">
        <v>101.792</v>
      </c>
      <c r="G87" s="24">
        <v>0</v>
      </c>
      <c r="H87" s="24">
        <f>ROUND(F87*AO87,2)</f>
        <v>0</v>
      </c>
      <c r="I87" s="24">
        <f>ROUND(F87*AP87,2)</f>
        <v>0</v>
      </c>
      <c r="J87" s="24">
        <f>ROUND(F87*G87,2)</f>
        <v>0</v>
      </c>
      <c r="K87" s="25" t="s">
        <v>74</v>
      </c>
      <c r="Z87" s="24">
        <f>ROUND(IF(AQ87="5",BJ87,0),2)</f>
        <v>0</v>
      </c>
      <c r="AB87" s="24">
        <f>ROUND(IF(AQ87="1",BH87,0),2)</f>
        <v>0</v>
      </c>
      <c r="AC87" s="24">
        <f>ROUND(IF(AQ87="1",BI87,0),2)</f>
        <v>0</v>
      </c>
      <c r="AD87" s="24">
        <f>ROUND(IF(AQ87="7",BH87,0),2)</f>
        <v>0</v>
      </c>
      <c r="AE87" s="24">
        <f>ROUND(IF(AQ87="7",BI87,0),2)</f>
        <v>0</v>
      </c>
      <c r="AF87" s="24">
        <f>ROUND(IF(AQ87="2",BH87,0),2)</f>
        <v>0</v>
      </c>
      <c r="AG87" s="24">
        <f>ROUND(IF(AQ87="2",BI87,0),2)</f>
        <v>0</v>
      </c>
      <c r="AH87" s="24">
        <f>ROUND(IF(AQ87="0",BJ87,0),2)</f>
        <v>0</v>
      </c>
      <c r="AI87" s="10" t="s">
        <v>51</v>
      </c>
      <c r="AJ87" s="24">
        <f>IF(AN87=0,J87,0)</f>
        <v>0</v>
      </c>
      <c r="AK87" s="24">
        <f>IF(AN87=12,J87,0)</f>
        <v>0</v>
      </c>
      <c r="AL87" s="24">
        <f>IF(AN87=21,J87,0)</f>
        <v>0</v>
      </c>
      <c r="AN87" s="24">
        <v>21</v>
      </c>
      <c r="AO87" s="24">
        <f>G87*0</f>
        <v>0</v>
      </c>
      <c r="AP87" s="24">
        <f>G87*(1-0)</f>
        <v>0</v>
      </c>
      <c r="AQ87" s="26" t="s">
        <v>89</v>
      </c>
      <c r="AV87" s="24">
        <f>ROUND(AW87+AX87,2)</f>
        <v>0</v>
      </c>
      <c r="AW87" s="24">
        <f>ROUND(F87*AO87,2)</f>
        <v>0</v>
      </c>
      <c r="AX87" s="24">
        <f>ROUND(F87*AP87,2)</f>
        <v>0</v>
      </c>
      <c r="AY87" s="26" t="s">
        <v>170</v>
      </c>
      <c r="AZ87" s="26" t="s">
        <v>171</v>
      </c>
      <c r="BA87" s="10" t="s">
        <v>61</v>
      </c>
      <c r="BC87" s="24">
        <f>AW87+AX87</f>
        <v>0</v>
      </c>
      <c r="BD87" s="24">
        <f>G87/(100-BE87)*100</f>
        <v>0</v>
      </c>
      <c r="BE87" s="24">
        <v>0</v>
      </c>
      <c r="BF87" s="24">
        <f>87</f>
        <v>87</v>
      </c>
      <c r="BH87" s="24">
        <f>F87*AO87</f>
        <v>0</v>
      </c>
      <c r="BI87" s="24">
        <f>F87*AP87</f>
        <v>0</v>
      </c>
      <c r="BJ87" s="24">
        <f>F87*G87</f>
        <v>0</v>
      </c>
      <c r="BK87" s="24"/>
      <c r="BL87" s="24">
        <v>21</v>
      </c>
      <c r="BW87" s="24">
        <v>21</v>
      </c>
      <c r="BX87" s="4" t="s">
        <v>194</v>
      </c>
    </row>
    <row r="88" spans="1:76" x14ac:dyDescent="0.25">
      <c r="A88" s="27"/>
      <c r="C88" s="28" t="s">
        <v>196</v>
      </c>
      <c r="D88" s="28" t="s">
        <v>51</v>
      </c>
      <c r="F88" s="29">
        <v>101.792</v>
      </c>
      <c r="K88" s="30"/>
    </row>
    <row r="89" spans="1:76" ht="89.25" x14ac:dyDescent="0.25">
      <c r="A89" s="27"/>
      <c r="B89" s="31" t="s">
        <v>62</v>
      </c>
      <c r="C89" s="91" t="s">
        <v>197</v>
      </c>
      <c r="D89" s="92"/>
      <c r="E89" s="92"/>
      <c r="F89" s="92"/>
      <c r="G89" s="92"/>
      <c r="H89" s="92"/>
      <c r="I89" s="92"/>
      <c r="J89" s="92"/>
      <c r="K89" s="93"/>
      <c r="BX89" s="32" t="s">
        <v>197</v>
      </c>
    </row>
    <row r="90" spans="1:76" x14ac:dyDescent="0.25">
      <c r="A90" s="33" t="s">
        <v>51</v>
      </c>
      <c r="B90" s="34" t="s">
        <v>198</v>
      </c>
      <c r="C90" s="94" t="s">
        <v>199</v>
      </c>
      <c r="D90" s="95"/>
      <c r="E90" s="35" t="s">
        <v>4</v>
      </c>
      <c r="F90" s="35" t="s">
        <v>4</v>
      </c>
      <c r="G90" s="35" t="s">
        <v>4</v>
      </c>
      <c r="H90" s="1">
        <f>SUM(H91:H95)</f>
        <v>0</v>
      </c>
      <c r="I90" s="1">
        <f>SUM(I91:I95)</f>
        <v>0</v>
      </c>
      <c r="J90" s="1">
        <f>SUM(J91:J95)</f>
        <v>0</v>
      </c>
      <c r="K90" s="36" t="s">
        <v>51</v>
      </c>
      <c r="AI90" s="10" t="s">
        <v>51</v>
      </c>
      <c r="AS90" s="1">
        <f>SUM(AJ91:AJ95)</f>
        <v>0</v>
      </c>
      <c r="AT90" s="1">
        <f>SUM(AK91:AK95)</f>
        <v>0</v>
      </c>
      <c r="AU90" s="1">
        <f>SUM(AL91:AL95)</f>
        <v>0</v>
      </c>
    </row>
    <row r="91" spans="1:76" x14ac:dyDescent="0.25">
      <c r="A91" s="2" t="s">
        <v>165</v>
      </c>
      <c r="B91" s="3" t="s">
        <v>200</v>
      </c>
      <c r="C91" s="75" t="s">
        <v>201</v>
      </c>
      <c r="D91" s="70"/>
      <c r="E91" s="3" t="s">
        <v>73</v>
      </c>
      <c r="F91" s="24">
        <v>17.890999999999998</v>
      </c>
      <c r="G91" s="24">
        <v>0</v>
      </c>
      <c r="H91" s="24">
        <f>ROUND(F91*AO91,2)</f>
        <v>0</v>
      </c>
      <c r="I91" s="24">
        <f>ROUND(F91*AP91,2)</f>
        <v>0</v>
      </c>
      <c r="J91" s="24">
        <f>ROUND(F91*G91,2)</f>
        <v>0</v>
      </c>
      <c r="K91" s="25" t="s">
        <v>74</v>
      </c>
      <c r="Z91" s="24">
        <f>ROUND(IF(AQ91="5",BJ91,0),2)</f>
        <v>0</v>
      </c>
      <c r="AB91" s="24">
        <f>ROUND(IF(AQ91="1",BH91,0),2)</f>
        <v>0</v>
      </c>
      <c r="AC91" s="24">
        <f>ROUND(IF(AQ91="1",BI91,0),2)</f>
        <v>0</v>
      </c>
      <c r="AD91" s="24">
        <f>ROUND(IF(AQ91="7",BH91,0),2)</f>
        <v>0</v>
      </c>
      <c r="AE91" s="24">
        <f>ROUND(IF(AQ91="7",BI91,0),2)</f>
        <v>0</v>
      </c>
      <c r="AF91" s="24">
        <f>ROUND(IF(AQ91="2",BH91,0),2)</f>
        <v>0</v>
      </c>
      <c r="AG91" s="24">
        <f>ROUND(IF(AQ91="2",BI91,0),2)</f>
        <v>0</v>
      </c>
      <c r="AH91" s="24">
        <f>ROUND(IF(AQ91="0",BJ91,0),2)</f>
        <v>0</v>
      </c>
      <c r="AI91" s="10" t="s">
        <v>51</v>
      </c>
      <c r="AJ91" s="24">
        <f>IF(AN91=0,J91,0)</f>
        <v>0</v>
      </c>
      <c r="AK91" s="24">
        <f>IF(AN91=12,J91,0)</f>
        <v>0</v>
      </c>
      <c r="AL91" s="24">
        <f>IF(AN91=21,J91,0)</f>
        <v>0</v>
      </c>
      <c r="AN91" s="24">
        <v>21</v>
      </c>
      <c r="AO91" s="24">
        <f>G91*0.908838815</f>
        <v>0</v>
      </c>
      <c r="AP91" s="24">
        <f>G91*(1-0.908838815)</f>
        <v>0</v>
      </c>
      <c r="AQ91" s="26" t="s">
        <v>54</v>
      </c>
      <c r="AV91" s="24">
        <f>ROUND(AW91+AX91,2)</f>
        <v>0</v>
      </c>
      <c r="AW91" s="24">
        <f>ROUND(F91*AO91,2)</f>
        <v>0</v>
      </c>
      <c r="AX91" s="24">
        <f>ROUND(F91*AP91,2)</f>
        <v>0</v>
      </c>
      <c r="AY91" s="26" t="s">
        <v>202</v>
      </c>
      <c r="AZ91" s="26" t="s">
        <v>171</v>
      </c>
      <c r="BA91" s="10" t="s">
        <v>61</v>
      </c>
      <c r="BC91" s="24">
        <f>AW91+AX91</f>
        <v>0</v>
      </c>
      <c r="BD91" s="24">
        <f>G91/(100-BE91)*100</f>
        <v>0</v>
      </c>
      <c r="BE91" s="24">
        <v>0</v>
      </c>
      <c r="BF91" s="24">
        <f>91</f>
        <v>91</v>
      </c>
      <c r="BH91" s="24">
        <f>F91*AO91</f>
        <v>0</v>
      </c>
      <c r="BI91" s="24">
        <f>F91*AP91</f>
        <v>0</v>
      </c>
      <c r="BJ91" s="24">
        <f>F91*G91</f>
        <v>0</v>
      </c>
      <c r="BK91" s="24"/>
      <c r="BL91" s="24">
        <v>27</v>
      </c>
      <c r="BW91" s="24">
        <v>21</v>
      </c>
      <c r="BX91" s="4" t="s">
        <v>201</v>
      </c>
    </row>
    <row r="92" spans="1:76" x14ac:dyDescent="0.25">
      <c r="A92" s="27"/>
      <c r="C92" s="28" t="s">
        <v>105</v>
      </c>
      <c r="D92" s="28" t="s">
        <v>203</v>
      </c>
      <c r="F92" s="29">
        <v>13.491</v>
      </c>
      <c r="K92" s="30"/>
    </row>
    <row r="93" spans="1:76" x14ac:dyDescent="0.25">
      <c r="A93" s="27"/>
      <c r="C93" s="28" t="s">
        <v>204</v>
      </c>
      <c r="D93" s="28" t="s">
        <v>51</v>
      </c>
      <c r="F93" s="29">
        <v>4.4000000000000004</v>
      </c>
      <c r="K93" s="30"/>
    </row>
    <row r="94" spans="1:76" ht="25.5" x14ac:dyDescent="0.25">
      <c r="A94" s="27"/>
      <c r="B94" s="31" t="s">
        <v>62</v>
      </c>
      <c r="C94" s="91" t="s">
        <v>205</v>
      </c>
      <c r="D94" s="92"/>
      <c r="E94" s="92"/>
      <c r="F94" s="92"/>
      <c r="G94" s="92"/>
      <c r="H94" s="92"/>
      <c r="I94" s="92"/>
      <c r="J94" s="92"/>
      <c r="K94" s="93"/>
      <c r="BX94" s="32" t="s">
        <v>205</v>
      </c>
    </row>
    <row r="95" spans="1:76" x14ac:dyDescent="0.25">
      <c r="A95" s="2" t="s">
        <v>206</v>
      </c>
      <c r="B95" s="3" t="s">
        <v>207</v>
      </c>
      <c r="C95" s="75" t="s">
        <v>208</v>
      </c>
      <c r="D95" s="70"/>
      <c r="E95" s="3" t="s">
        <v>73</v>
      </c>
      <c r="F95" s="24">
        <v>1.8</v>
      </c>
      <c r="G95" s="24">
        <v>0</v>
      </c>
      <c r="H95" s="24">
        <f>ROUND(F95*AO95,2)</f>
        <v>0</v>
      </c>
      <c r="I95" s="24">
        <f>ROUND(F95*AP95,2)</f>
        <v>0</v>
      </c>
      <c r="J95" s="24">
        <f>ROUND(F95*G95,2)</f>
        <v>0</v>
      </c>
      <c r="K95" s="25" t="s">
        <v>58</v>
      </c>
      <c r="Z95" s="24">
        <f>ROUND(IF(AQ95="5",BJ95,0),2)</f>
        <v>0</v>
      </c>
      <c r="AB95" s="24">
        <f>ROUND(IF(AQ95="1",BH95,0),2)</f>
        <v>0</v>
      </c>
      <c r="AC95" s="24">
        <f>ROUND(IF(AQ95="1",BI95,0),2)</f>
        <v>0</v>
      </c>
      <c r="AD95" s="24">
        <f>ROUND(IF(AQ95="7",BH95,0),2)</f>
        <v>0</v>
      </c>
      <c r="AE95" s="24">
        <f>ROUND(IF(AQ95="7",BI95,0),2)</f>
        <v>0</v>
      </c>
      <c r="AF95" s="24">
        <f>ROUND(IF(AQ95="2",BH95,0),2)</f>
        <v>0</v>
      </c>
      <c r="AG95" s="24">
        <f>ROUND(IF(AQ95="2",BI95,0),2)</f>
        <v>0</v>
      </c>
      <c r="AH95" s="24">
        <f>ROUND(IF(AQ95="0",BJ95,0),2)</f>
        <v>0</v>
      </c>
      <c r="AI95" s="10" t="s">
        <v>51</v>
      </c>
      <c r="AJ95" s="24">
        <f>IF(AN95=0,J95,0)</f>
        <v>0</v>
      </c>
      <c r="AK95" s="24">
        <f>IF(AN95=12,J95,0)</f>
        <v>0</v>
      </c>
      <c r="AL95" s="24">
        <f>IF(AN95=21,J95,0)</f>
        <v>0</v>
      </c>
      <c r="AN95" s="24">
        <v>21</v>
      </c>
      <c r="AO95" s="24">
        <f>G95*0.899362889</f>
        <v>0</v>
      </c>
      <c r="AP95" s="24">
        <f>G95*(1-0.899362889)</f>
        <v>0</v>
      </c>
      <c r="AQ95" s="26" t="s">
        <v>54</v>
      </c>
      <c r="AV95" s="24">
        <f>ROUND(AW95+AX95,2)</f>
        <v>0</v>
      </c>
      <c r="AW95" s="24">
        <f>ROUND(F95*AO95,2)</f>
        <v>0</v>
      </c>
      <c r="AX95" s="24">
        <f>ROUND(F95*AP95,2)</f>
        <v>0</v>
      </c>
      <c r="AY95" s="26" t="s">
        <v>202</v>
      </c>
      <c r="AZ95" s="26" t="s">
        <v>171</v>
      </c>
      <c r="BA95" s="10" t="s">
        <v>61</v>
      </c>
      <c r="BC95" s="24">
        <f>AW95+AX95</f>
        <v>0</v>
      </c>
      <c r="BD95" s="24">
        <f>G95/(100-BE95)*100</f>
        <v>0</v>
      </c>
      <c r="BE95" s="24">
        <v>0</v>
      </c>
      <c r="BF95" s="24">
        <f>95</f>
        <v>95</v>
      </c>
      <c r="BH95" s="24">
        <f>F95*AO95</f>
        <v>0</v>
      </c>
      <c r="BI95" s="24">
        <f>F95*AP95</f>
        <v>0</v>
      </c>
      <c r="BJ95" s="24">
        <f>F95*G95</f>
        <v>0</v>
      </c>
      <c r="BK95" s="24"/>
      <c r="BL95" s="24">
        <v>27</v>
      </c>
      <c r="BW95" s="24">
        <v>21</v>
      </c>
      <c r="BX95" s="4" t="s">
        <v>208</v>
      </c>
    </row>
    <row r="96" spans="1:76" x14ac:dyDescent="0.25">
      <c r="A96" s="27"/>
      <c r="C96" s="28" t="s">
        <v>209</v>
      </c>
      <c r="D96" s="28" t="s">
        <v>210</v>
      </c>
      <c r="F96" s="29">
        <v>1.44</v>
      </c>
      <c r="K96" s="30"/>
    </row>
    <row r="97" spans="1:76" x14ac:dyDescent="0.25">
      <c r="A97" s="27"/>
      <c r="C97" s="28" t="s">
        <v>211</v>
      </c>
      <c r="D97" s="28" t="s">
        <v>212</v>
      </c>
      <c r="F97" s="29">
        <v>0.36</v>
      </c>
      <c r="K97" s="30"/>
    </row>
    <row r="98" spans="1:76" ht="25.5" x14ac:dyDescent="0.25">
      <c r="A98" s="27"/>
      <c r="B98" s="31" t="s">
        <v>62</v>
      </c>
      <c r="C98" s="91" t="s">
        <v>213</v>
      </c>
      <c r="D98" s="92"/>
      <c r="E98" s="92"/>
      <c r="F98" s="92"/>
      <c r="G98" s="92"/>
      <c r="H98" s="92"/>
      <c r="I98" s="92"/>
      <c r="J98" s="92"/>
      <c r="K98" s="93"/>
      <c r="BX98" s="32" t="s">
        <v>213</v>
      </c>
    </row>
    <row r="99" spans="1:76" x14ac:dyDescent="0.25">
      <c r="A99" s="33" t="s">
        <v>51</v>
      </c>
      <c r="B99" s="34" t="s">
        <v>214</v>
      </c>
      <c r="C99" s="94" t="s">
        <v>215</v>
      </c>
      <c r="D99" s="95"/>
      <c r="E99" s="35" t="s">
        <v>4</v>
      </c>
      <c r="F99" s="35" t="s">
        <v>4</v>
      </c>
      <c r="G99" s="35" t="s">
        <v>4</v>
      </c>
      <c r="H99" s="1">
        <f>SUM(H100:H100)</f>
        <v>0</v>
      </c>
      <c r="I99" s="1">
        <f>SUM(I100:I100)</f>
        <v>0</v>
      </c>
      <c r="J99" s="1">
        <f>SUM(J100:J100)</f>
        <v>0</v>
      </c>
      <c r="K99" s="36" t="s">
        <v>51</v>
      </c>
      <c r="AI99" s="10" t="s">
        <v>51</v>
      </c>
      <c r="AS99" s="1">
        <f>SUM(AJ100:AJ100)</f>
        <v>0</v>
      </c>
      <c r="AT99" s="1">
        <f>SUM(AK100:AK100)</f>
        <v>0</v>
      </c>
      <c r="AU99" s="1">
        <f>SUM(AL100:AL100)</f>
        <v>0</v>
      </c>
    </row>
    <row r="100" spans="1:76" x14ac:dyDescent="0.25">
      <c r="A100" s="2" t="s">
        <v>216</v>
      </c>
      <c r="B100" s="3" t="s">
        <v>217</v>
      </c>
      <c r="C100" s="75" t="s">
        <v>218</v>
      </c>
      <c r="D100" s="70"/>
      <c r="E100" s="3" t="s">
        <v>57</v>
      </c>
      <c r="F100" s="24">
        <v>1</v>
      </c>
      <c r="G100" s="24">
        <v>0</v>
      </c>
      <c r="H100" s="24">
        <f>ROUND(F100*AO100,2)</f>
        <v>0</v>
      </c>
      <c r="I100" s="24">
        <f>ROUND(F100*AP100,2)</f>
        <v>0</v>
      </c>
      <c r="J100" s="24">
        <f>ROUND(F100*G100,2)</f>
        <v>0</v>
      </c>
      <c r="K100" s="25" t="s">
        <v>58</v>
      </c>
      <c r="Z100" s="24">
        <f>ROUND(IF(AQ100="5",BJ100,0),2)</f>
        <v>0</v>
      </c>
      <c r="AB100" s="24">
        <f>ROUND(IF(AQ100="1",BH100,0),2)</f>
        <v>0</v>
      </c>
      <c r="AC100" s="24">
        <f>ROUND(IF(AQ100="1",BI100,0),2)</f>
        <v>0</v>
      </c>
      <c r="AD100" s="24">
        <f>ROUND(IF(AQ100="7",BH100,0),2)</f>
        <v>0</v>
      </c>
      <c r="AE100" s="24">
        <f>ROUND(IF(AQ100="7",BI100,0),2)</f>
        <v>0</v>
      </c>
      <c r="AF100" s="24">
        <f>ROUND(IF(AQ100="2",BH100,0),2)</f>
        <v>0</v>
      </c>
      <c r="AG100" s="24">
        <f>ROUND(IF(AQ100="2",BI100,0),2)</f>
        <v>0</v>
      </c>
      <c r="AH100" s="24">
        <f>ROUND(IF(AQ100="0",BJ100,0),2)</f>
        <v>0</v>
      </c>
      <c r="AI100" s="10" t="s">
        <v>51</v>
      </c>
      <c r="AJ100" s="24">
        <f>IF(AN100=0,J100,0)</f>
        <v>0</v>
      </c>
      <c r="AK100" s="24">
        <f>IF(AN100=12,J100,0)</f>
        <v>0</v>
      </c>
      <c r="AL100" s="24">
        <f>IF(AN100=21,J100,0)</f>
        <v>0</v>
      </c>
      <c r="AN100" s="24">
        <v>21</v>
      </c>
      <c r="AO100" s="24">
        <f>G100*0.049585405</f>
        <v>0</v>
      </c>
      <c r="AP100" s="24">
        <f>G100*(1-0.049585405)</f>
        <v>0</v>
      </c>
      <c r="AQ100" s="26" t="s">
        <v>54</v>
      </c>
      <c r="AV100" s="24">
        <f>ROUND(AW100+AX100,2)</f>
        <v>0</v>
      </c>
      <c r="AW100" s="24">
        <f>ROUND(F100*AO100,2)</f>
        <v>0</v>
      </c>
      <c r="AX100" s="24">
        <f>ROUND(F100*AP100,2)</f>
        <v>0</v>
      </c>
      <c r="AY100" s="26" t="s">
        <v>219</v>
      </c>
      <c r="AZ100" s="26" t="s">
        <v>220</v>
      </c>
      <c r="BA100" s="10" t="s">
        <v>61</v>
      </c>
      <c r="BC100" s="24">
        <f>AW100+AX100</f>
        <v>0</v>
      </c>
      <c r="BD100" s="24">
        <f>G100/(100-BE100)*100</f>
        <v>0</v>
      </c>
      <c r="BE100" s="24">
        <v>0</v>
      </c>
      <c r="BF100" s="24">
        <f>100</f>
        <v>100</v>
      </c>
      <c r="BH100" s="24">
        <f>F100*AO100</f>
        <v>0</v>
      </c>
      <c r="BI100" s="24">
        <f>F100*AP100</f>
        <v>0</v>
      </c>
      <c r="BJ100" s="24">
        <f>F100*G100</f>
        <v>0</v>
      </c>
      <c r="BK100" s="24"/>
      <c r="BL100" s="24">
        <v>38</v>
      </c>
      <c r="BW100" s="24">
        <v>21</v>
      </c>
      <c r="BX100" s="4" t="s">
        <v>218</v>
      </c>
    </row>
    <row r="101" spans="1:76" x14ac:dyDescent="0.25">
      <c r="A101" s="27"/>
      <c r="C101" s="28" t="s">
        <v>54</v>
      </c>
      <c r="D101" s="28" t="s">
        <v>221</v>
      </c>
      <c r="F101" s="29">
        <v>1</v>
      </c>
      <c r="K101" s="30"/>
    </row>
    <row r="102" spans="1:76" x14ac:dyDescent="0.25">
      <c r="A102" s="27"/>
      <c r="C102" s="28" t="s">
        <v>51</v>
      </c>
      <c r="D102" s="28" t="s">
        <v>222</v>
      </c>
      <c r="F102" s="29">
        <v>0</v>
      </c>
      <c r="K102" s="30"/>
    </row>
    <row r="103" spans="1:76" x14ac:dyDescent="0.25">
      <c r="A103" s="27"/>
      <c r="C103" s="28" t="s">
        <v>51</v>
      </c>
      <c r="D103" s="28" t="s">
        <v>223</v>
      </c>
      <c r="F103" s="29">
        <v>0</v>
      </c>
      <c r="K103" s="30"/>
    </row>
    <row r="104" spans="1:76" x14ac:dyDescent="0.25">
      <c r="A104" s="33" t="s">
        <v>51</v>
      </c>
      <c r="B104" s="34" t="s">
        <v>224</v>
      </c>
      <c r="C104" s="94" t="s">
        <v>225</v>
      </c>
      <c r="D104" s="95"/>
      <c r="E104" s="35" t="s">
        <v>4</v>
      </c>
      <c r="F104" s="35" t="s">
        <v>4</v>
      </c>
      <c r="G104" s="35" t="s">
        <v>4</v>
      </c>
      <c r="H104" s="1">
        <f>SUM(H105:H114)</f>
        <v>0</v>
      </c>
      <c r="I104" s="1">
        <f>SUM(I105:I114)</f>
        <v>0</v>
      </c>
      <c r="J104" s="1">
        <f>SUM(J105:J114)</f>
        <v>0</v>
      </c>
      <c r="K104" s="36" t="s">
        <v>51</v>
      </c>
      <c r="AI104" s="10" t="s">
        <v>51</v>
      </c>
      <c r="AS104" s="1">
        <f>SUM(AJ105:AJ114)</f>
        <v>0</v>
      </c>
      <c r="AT104" s="1">
        <f>SUM(AK105:AK114)</f>
        <v>0</v>
      </c>
      <c r="AU104" s="1">
        <f>SUM(AL105:AL114)</f>
        <v>0</v>
      </c>
    </row>
    <row r="105" spans="1:76" x14ac:dyDescent="0.25">
      <c r="A105" s="2" t="s">
        <v>226</v>
      </c>
      <c r="B105" s="3" t="s">
        <v>227</v>
      </c>
      <c r="C105" s="75" t="s">
        <v>228</v>
      </c>
      <c r="D105" s="70"/>
      <c r="E105" s="3" t="s">
        <v>156</v>
      </c>
      <c r="F105" s="24">
        <v>812</v>
      </c>
      <c r="G105" s="24">
        <v>0</v>
      </c>
      <c r="H105" s="24">
        <f>ROUND(F105*AO105,2)</f>
        <v>0</v>
      </c>
      <c r="I105" s="24">
        <f>ROUND(F105*AP105,2)</f>
        <v>0</v>
      </c>
      <c r="J105" s="24">
        <f>ROUND(F105*G105,2)</f>
        <v>0</v>
      </c>
      <c r="K105" s="25" t="s">
        <v>74</v>
      </c>
      <c r="Z105" s="24">
        <f>ROUND(IF(AQ105="5",BJ105,0),2)</f>
        <v>0</v>
      </c>
      <c r="AB105" s="24">
        <f>ROUND(IF(AQ105="1",BH105,0),2)</f>
        <v>0</v>
      </c>
      <c r="AC105" s="24">
        <f>ROUND(IF(AQ105="1",BI105,0),2)</f>
        <v>0</v>
      </c>
      <c r="AD105" s="24">
        <f>ROUND(IF(AQ105="7",BH105,0),2)</f>
        <v>0</v>
      </c>
      <c r="AE105" s="24">
        <f>ROUND(IF(AQ105="7",BI105,0),2)</f>
        <v>0</v>
      </c>
      <c r="AF105" s="24">
        <f>ROUND(IF(AQ105="2",BH105,0),2)</f>
        <v>0</v>
      </c>
      <c r="AG105" s="24">
        <f>ROUND(IF(AQ105="2",BI105,0),2)</f>
        <v>0</v>
      </c>
      <c r="AH105" s="24">
        <f>ROUND(IF(AQ105="0",BJ105,0),2)</f>
        <v>0</v>
      </c>
      <c r="AI105" s="10" t="s">
        <v>51</v>
      </c>
      <c r="AJ105" s="24">
        <f>IF(AN105=0,J105,0)</f>
        <v>0</v>
      </c>
      <c r="AK105" s="24">
        <f>IF(AN105=12,J105,0)</f>
        <v>0</v>
      </c>
      <c r="AL105" s="24">
        <f>IF(AN105=21,J105,0)</f>
        <v>0</v>
      </c>
      <c r="AN105" s="24">
        <v>21</v>
      </c>
      <c r="AO105" s="24">
        <f>G105*0.856076154</f>
        <v>0</v>
      </c>
      <c r="AP105" s="24">
        <f>G105*(1-0.856076154)</f>
        <v>0</v>
      </c>
      <c r="AQ105" s="26" t="s">
        <v>54</v>
      </c>
      <c r="AV105" s="24">
        <f>ROUND(AW105+AX105,2)</f>
        <v>0</v>
      </c>
      <c r="AW105" s="24">
        <f>ROUND(F105*AO105,2)</f>
        <v>0</v>
      </c>
      <c r="AX105" s="24">
        <f>ROUND(F105*AP105,2)</f>
        <v>0</v>
      </c>
      <c r="AY105" s="26" t="s">
        <v>229</v>
      </c>
      <c r="AZ105" s="26" t="s">
        <v>230</v>
      </c>
      <c r="BA105" s="10" t="s">
        <v>61</v>
      </c>
      <c r="BC105" s="24">
        <f>AW105+AX105</f>
        <v>0</v>
      </c>
      <c r="BD105" s="24">
        <f>G105/(100-BE105)*100</f>
        <v>0</v>
      </c>
      <c r="BE105" s="24">
        <v>0</v>
      </c>
      <c r="BF105" s="24">
        <f>105</f>
        <v>105</v>
      </c>
      <c r="BH105" s="24">
        <f>F105*AO105</f>
        <v>0</v>
      </c>
      <c r="BI105" s="24">
        <f>F105*AP105</f>
        <v>0</v>
      </c>
      <c r="BJ105" s="24">
        <f>F105*G105</f>
        <v>0</v>
      </c>
      <c r="BK105" s="24"/>
      <c r="BL105" s="24">
        <v>56</v>
      </c>
      <c r="BW105" s="24">
        <v>21</v>
      </c>
      <c r="BX105" s="4" t="s">
        <v>228</v>
      </c>
    </row>
    <row r="106" spans="1:76" x14ac:dyDescent="0.25">
      <c r="A106" s="27"/>
      <c r="C106" s="28" t="s">
        <v>231</v>
      </c>
      <c r="D106" s="28" t="s">
        <v>51</v>
      </c>
      <c r="F106" s="29">
        <v>812</v>
      </c>
      <c r="K106" s="30"/>
    </row>
    <row r="107" spans="1:76" x14ac:dyDescent="0.25">
      <c r="A107" s="2" t="s">
        <v>232</v>
      </c>
      <c r="B107" s="3" t="s">
        <v>233</v>
      </c>
      <c r="C107" s="75" t="s">
        <v>234</v>
      </c>
      <c r="D107" s="70"/>
      <c r="E107" s="3" t="s">
        <v>156</v>
      </c>
      <c r="F107" s="24">
        <v>812</v>
      </c>
      <c r="G107" s="24">
        <v>0</v>
      </c>
      <c r="H107" s="24">
        <f>ROUND(F107*AO107,2)</f>
        <v>0</v>
      </c>
      <c r="I107" s="24">
        <f>ROUND(F107*AP107,2)</f>
        <v>0</v>
      </c>
      <c r="J107" s="24">
        <f>ROUND(F107*G107,2)</f>
        <v>0</v>
      </c>
      <c r="K107" s="25" t="s">
        <v>74</v>
      </c>
      <c r="Z107" s="24">
        <f>ROUND(IF(AQ107="5",BJ107,0),2)</f>
        <v>0</v>
      </c>
      <c r="AB107" s="24">
        <f>ROUND(IF(AQ107="1",BH107,0),2)</f>
        <v>0</v>
      </c>
      <c r="AC107" s="24">
        <f>ROUND(IF(AQ107="1",BI107,0),2)</f>
        <v>0</v>
      </c>
      <c r="AD107" s="24">
        <f>ROUND(IF(AQ107="7",BH107,0),2)</f>
        <v>0</v>
      </c>
      <c r="AE107" s="24">
        <f>ROUND(IF(AQ107="7",BI107,0),2)</f>
        <v>0</v>
      </c>
      <c r="AF107" s="24">
        <f>ROUND(IF(AQ107="2",BH107,0),2)</f>
        <v>0</v>
      </c>
      <c r="AG107" s="24">
        <f>ROUND(IF(AQ107="2",BI107,0),2)</f>
        <v>0</v>
      </c>
      <c r="AH107" s="24">
        <f>ROUND(IF(AQ107="0",BJ107,0),2)</f>
        <v>0</v>
      </c>
      <c r="AI107" s="10" t="s">
        <v>51</v>
      </c>
      <c r="AJ107" s="24">
        <f>IF(AN107=0,J107,0)</f>
        <v>0</v>
      </c>
      <c r="AK107" s="24">
        <f>IF(AN107=12,J107,0)</f>
        <v>0</v>
      </c>
      <c r="AL107" s="24">
        <f>IF(AN107=21,J107,0)</f>
        <v>0</v>
      </c>
      <c r="AN107" s="24">
        <v>21</v>
      </c>
      <c r="AO107" s="24">
        <f>G107*0.776746032</f>
        <v>0</v>
      </c>
      <c r="AP107" s="24">
        <f>G107*(1-0.776746032)</f>
        <v>0</v>
      </c>
      <c r="AQ107" s="26" t="s">
        <v>54</v>
      </c>
      <c r="AV107" s="24">
        <f>ROUND(AW107+AX107,2)</f>
        <v>0</v>
      </c>
      <c r="AW107" s="24">
        <f>ROUND(F107*AO107,2)</f>
        <v>0</v>
      </c>
      <c r="AX107" s="24">
        <f>ROUND(F107*AP107,2)</f>
        <v>0</v>
      </c>
      <c r="AY107" s="26" t="s">
        <v>229</v>
      </c>
      <c r="AZ107" s="26" t="s">
        <v>230</v>
      </c>
      <c r="BA107" s="10" t="s">
        <v>61</v>
      </c>
      <c r="BC107" s="24">
        <f>AW107+AX107</f>
        <v>0</v>
      </c>
      <c r="BD107" s="24">
        <f>G107/(100-BE107)*100</f>
        <v>0</v>
      </c>
      <c r="BE107" s="24">
        <v>0</v>
      </c>
      <c r="BF107" s="24">
        <f>107</f>
        <v>107</v>
      </c>
      <c r="BH107" s="24">
        <f>F107*AO107</f>
        <v>0</v>
      </c>
      <c r="BI107" s="24">
        <f>F107*AP107</f>
        <v>0</v>
      </c>
      <c r="BJ107" s="24">
        <f>F107*G107</f>
        <v>0</v>
      </c>
      <c r="BK107" s="24"/>
      <c r="BL107" s="24">
        <v>56</v>
      </c>
      <c r="BW107" s="24">
        <v>21</v>
      </c>
      <c r="BX107" s="4" t="s">
        <v>234</v>
      </c>
    </row>
    <row r="108" spans="1:76" x14ac:dyDescent="0.25">
      <c r="A108" s="27"/>
      <c r="C108" s="28" t="s">
        <v>231</v>
      </c>
      <c r="D108" s="28" t="s">
        <v>51</v>
      </c>
      <c r="F108" s="29">
        <v>812</v>
      </c>
      <c r="K108" s="30"/>
    </row>
    <row r="109" spans="1:76" x14ac:dyDescent="0.25">
      <c r="A109" s="2" t="s">
        <v>235</v>
      </c>
      <c r="B109" s="3" t="s">
        <v>236</v>
      </c>
      <c r="C109" s="75" t="s">
        <v>237</v>
      </c>
      <c r="D109" s="70"/>
      <c r="E109" s="3" t="s">
        <v>156</v>
      </c>
      <c r="F109" s="24">
        <v>812</v>
      </c>
      <c r="G109" s="24">
        <v>0</v>
      </c>
      <c r="H109" s="24">
        <f>ROUND(F109*AO109,2)</f>
        <v>0</v>
      </c>
      <c r="I109" s="24">
        <f>ROUND(F109*AP109,2)</f>
        <v>0</v>
      </c>
      <c r="J109" s="24">
        <f>ROUND(F109*G109,2)</f>
        <v>0</v>
      </c>
      <c r="K109" s="25" t="s">
        <v>74</v>
      </c>
      <c r="Z109" s="24">
        <f>ROUND(IF(AQ109="5",BJ109,0),2)</f>
        <v>0</v>
      </c>
      <c r="AB109" s="24">
        <f>ROUND(IF(AQ109="1",BH109,0),2)</f>
        <v>0</v>
      </c>
      <c r="AC109" s="24">
        <f>ROUND(IF(AQ109="1",BI109,0),2)</f>
        <v>0</v>
      </c>
      <c r="AD109" s="24">
        <f>ROUND(IF(AQ109="7",BH109,0),2)</f>
        <v>0</v>
      </c>
      <c r="AE109" s="24">
        <f>ROUND(IF(AQ109="7",BI109,0),2)</f>
        <v>0</v>
      </c>
      <c r="AF109" s="24">
        <f>ROUND(IF(AQ109="2",BH109,0),2)</f>
        <v>0</v>
      </c>
      <c r="AG109" s="24">
        <f>ROUND(IF(AQ109="2",BI109,0),2)</f>
        <v>0</v>
      </c>
      <c r="AH109" s="24">
        <f>ROUND(IF(AQ109="0",BJ109,0),2)</f>
        <v>0</v>
      </c>
      <c r="AI109" s="10" t="s">
        <v>51</v>
      </c>
      <c r="AJ109" s="24">
        <f>IF(AN109=0,J109,0)</f>
        <v>0</v>
      </c>
      <c r="AK109" s="24">
        <f>IF(AN109=12,J109,0)</f>
        <v>0</v>
      </c>
      <c r="AL109" s="24">
        <f>IF(AN109=21,J109,0)</f>
        <v>0</v>
      </c>
      <c r="AN109" s="24">
        <v>21</v>
      </c>
      <c r="AO109" s="24">
        <f>G109*0.641437821</f>
        <v>0</v>
      </c>
      <c r="AP109" s="24">
        <f>G109*(1-0.641437821)</f>
        <v>0</v>
      </c>
      <c r="AQ109" s="26" t="s">
        <v>54</v>
      </c>
      <c r="AV109" s="24">
        <f>ROUND(AW109+AX109,2)</f>
        <v>0</v>
      </c>
      <c r="AW109" s="24">
        <f>ROUND(F109*AO109,2)</f>
        <v>0</v>
      </c>
      <c r="AX109" s="24">
        <f>ROUND(F109*AP109,2)</f>
        <v>0</v>
      </c>
      <c r="AY109" s="26" t="s">
        <v>229</v>
      </c>
      <c r="AZ109" s="26" t="s">
        <v>230</v>
      </c>
      <c r="BA109" s="10" t="s">
        <v>61</v>
      </c>
      <c r="BC109" s="24">
        <f>AW109+AX109</f>
        <v>0</v>
      </c>
      <c r="BD109" s="24">
        <f>G109/(100-BE109)*100</f>
        <v>0</v>
      </c>
      <c r="BE109" s="24">
        <v>0</v>
      </c>
      <c r="BF109" s="24">
        <f>109</f>
        <v>109</v>
      </c>
      <c r="BH109" s="24">
        <f>F109*AO109</f>
        <v>0</v>
      </c>
      <c r="BI109" s="24">
        <f>F109*AP109</f>
        <v>0</v>
      </c>
      <c r="BJ109" s="24">
        <f>F109*G109</f>
        <v>0</v>
      </c>
      <c r="BK109" s="24"/>
      <c r="BL109" s="24">
        <v>56</v>
      </c>
      <c r="BW109" s="24">
        <v>21</v>
      </c>
      <c r="BX109" s="4" t="s">
        <v>237</v>
      </c>
    </row>
    <row r="110" spans="1:76" x14ac:dyDescent="0.25">
      <c r="A110" s="27"/>
      <c r="C110" s="28" t="s">
        <v>231</v>
      </c>
      <c r="D110" s="28" t="s">
        <v>51</v>
      </c>
      <c r="F110" s="29">
        <v>812</v>
      </c>
      <c r="K110" s="30"/>
    </row>
    <row r="111" spans="1:76" x14ac:dyDescent="0.25">
      <c r="A111" s="27"/>
      <c r="B111" s="31" t="s">
        <v>62</v>
      </c>
      <c r="C111" s="91" t="s">
        <v>238</v>
      </c>
      <c r="D111" s="92"/>
      <c r="E111" s="92"/>
      <c r="F111" s="92"/>
      <c r="G111" s="92"/>
      <c r="H111" s="92"/>
      <c r="I111" s="92"/>
      <c r="J111" s="92"/>
      <c r="K111" s="93"/>
      <c r="BX111" s="32" t="s">
        <v>238</v>
      </c>
    </row>
    <row r="112" spans="1:76" x14ac:dyDescent="0.25">
      <c r="A112" s="2" t="s">
        <v>198</v>
      </c>
      <c r="B112" s="3" t="s">
        <v>239</v>
      </c>
      <c r="C112" s="75" t="s">
        <v>240</v>
      </c>
      <c r="D112" s="70"/>
      <c r="E112" s="3" t="s">
        <v>156</v>
      </c>
      <c r="F112" s="24">
        <v>812</v>
      </c>
      <c r="G112" s="24">
        <v>0</v>
      </c>
      <c r="H112" s="24">
        <f>ROUND(F112*AO112,2)</f>
        <v>0</v>
      </c>
      <c r="I112" s="24">
        <f>ROUND(F112*AP112,2)</f>
        <v>0</v>
      </c>
      <c r="J112" s="24">
        <f>ROUND(F112*G112,2)</f>
        <v>0</v>
      </c>
      <c r="K112" s="25" t="s">
        <v>74</v>
      </c>
      <c r="Z112" s="24">
        <f>ROUND(IF(AQ112="5",BJ112,0),2)</f>
        <v>0</v>
      </c>
      <c r="AB112" s="24">
        <f>ROUND(IF(AQ112="1",BH112,0),2)</f>
        <v>0</v>
      </c>
      <c r="AC112" s="24">
        <f>ROUND(IF(AQ112="1",BI112,0),2)</f>
        <v>0</v>
      </c>
      <c r="AD112" s="24">
        <f>ROUND(IF(AQ112="7",BH112,0),2)</f>
        <v>0</v>
      </c>
      <c r="AE112" s="24">
        <f>ROUND(IF(AQ112="7",BI112,0),2)</f>
        <v>0</v>
      </c>
      <c r="AF112" s="24">
        <f>ROUND(IF(AQ112="2",BH112,0),2)</f>
        <v>0</v>
      </c>
      <c r="AG112" s="24">
        <f>ROUND(IF(AQ112="2",BI112,0),2)</f>
        <v>0</v>
      </c>
      <c r="AH112" s="24">
        <f>ROUND(IF(AQ112="0",BJ112,0),2)</f>
        <v>0</v>
      </c>
      <c r="AI112" s="10" t="s">
        <v>51</v>
      </c>
      <c r="AJ112" s="24">
        <f>IF(AN112=0,J112,0)</f>
        <v>0</v>
      </c>
      <c r="AK112" s="24">
        <f>IF(AN112=12,J112,0)</f>
        <v>0</v>
      </c>
      <c r="AL112" s="24">
        <f>IF(AN112=21,J112,0)</f>
        <v>0</v>
      </c>
      <c r="AN112" s="24">
        <v>21</v>
      </c>
      <c r="AO112" s="24">
        <f>G112*0</f>
        <v>0</v>
      </c>
      <c r="AP112" s="24">
        <f>G112*(1-0)</f>
        <v>0</v>
      </c>
      <c r="AQ112" s="26" t="s">
        <v>54</v>
      </c>
      <c r="AV112" s="24">
        <f>ROUND(AW112+AX112,2)</f>
        <v>0</v>
      </c>
      <c r="AW112" s="24">
        <f>ROUND(F112*AO112,2)</f>
        <v>0</v>
      </c>
      <c r="AX112" s="24">
        <f>ROUND(F112*AP112,2)</f>
        <v>0</v>
      </c>
      <c r="AY112" s="26" t="s">
        <v>229</v>
      </c>
      <c r="AZ112" s="26" t="s">
        <v>230</v>
      </c>
      <c r="BA112" s="10" t="s">
        <v>61</v>
      </c>
      <c r="BC112" s="24">
        <f>AW112+AX112</f>
        <v>0</v>
      </c>
      <c r="BD112" s="24">
        <f>G112/(100-BE112)*100</f>
        <v>0</v>
      </c>
      <c r="BE112" s="24">
        <v>0</v>
      </c>
      <c r="BF112" s="24">
        <f>112</f>
        <v>112</v>
      </c>
      <c r="BH112" s="24">
        <f>F112*AO112</f>
        <v>0</v>
      </c>
      <c r="BI112" s="24">
        <f>F112*AP112</f>
        <v>0</v>
      </c>
      <c r="BJ112" s="24">
        <f>F112*G112</f>
        <v>0</v>
      </c>
      <c r="BK112" s="24"/>
      <c r="BL112" s="24">
        <v>56</v>
      </c>
      <c r="BW112" s="24">
        <v>21</v>
      </c>
      <c r="BX112" s="4" t="s">
        <v>240</v>
      </c>
    </row>
    <row r="113" spans="1:76" x14ac:dyDescent="0.25">
      <c r="A113" s="27"/>
      <c r="C113" s="28" t="s">
        <v>231</v>
      </c>
      <c r="D113" s="28" t="s">
        <v>51</v>
      </c>
      <c r="F113" s="29">
        <v>812</v>
      </c>
      <c r="K113" s="30"/>
    </row>
    <row r="114" spans="1:76" x14ac:dyDescent="0.25">
      <c r="A114" s="2" t="s">
        <v>241</v>
      </c>
      <c r="B114" s="3" t="s">
        <v>242</v>
      </c>
      <c r="C114" s="75" t="s">
        <v>243</v>
      </c>
      <c r="D114" s="70"/>
      <c r="E114" s="3" t="s">
        <v>195</v>
      </c>
      <c r="F114" s="24">
        <v>580.20699999999999</v>
      </c>
      <c r="G114" s="24">
        <v>0</v>
      </c>
      <c r="H114" s="24">
        <f>ROUND(F114*AO114,2)</f>
        <v>0</v>
      </c>
      <c r="I114" s="24">
        <f>ROUND(F114*AP114,2)</f>
        <v>0</v>
      </c>
      <c r="J114" s="24">
        <f>ROUND(F114*G114,2)</f>
        <v>0</v>
      </c>
      <c r="K114" s="25" t="s">
        <v>74</v>
      </c>
      <c r="Z114" s="24">
        <f>ROUND(IF(AQ114="5",BJ114,0),2)</f>
        <v>0</v>
      </c>
      <c r="AB114" s="24">
        <f>ROUND(IF(AQ114="1",BH114,0),2)</f>
        <v>0</v>
      </c>
      <c r="AC114" s="24">
        <f>ROUND(IF(AQ114="1",BI114,0),2)</f>
        <v>0</v>
      </c>
      <c r="AD114" s="24">
        <f>ROUND(IF(AQ114="7",BH114,0),2)</f>
        <v>0</v>
      </c>
      <c r="AE114" s="24">
        <f>ROUND(IF(AQ114="7",BI114,0),2)</f>
        <v>0</v>
      </c>
      <c r="AF114" s="24">
        <f>ROUND(IF(AQ114="2",BH114,0),2)</f>
        <v>0</v>
      </c>
      <c r="AG114" s="24">
        <f>ROUND(IF(AQ114="2",BI114,0),2)</f>
        <v>0</v>
      </c>
      <c r="AH114" s="24">
        <f>ROUND(IF(AQ114="0",BJ114,0),2)</f>
        <v>0</v>
      </c>
      <c r="AI114" s="10" t="s">
        <v>51</v>
      </c>
      <c r="AJ114" s="24">
        <f>IF(AN114=0,J114,0)</f>
        <v>0</v>
      </c>
      <c r="AK114" s="24">
        <f>IF(AN114=12,J114,0)</f>
        <v>0</v>
      </c>
      <c r="AL114" s="24">
        <f>IF(AN114=21,J114,0)</f>
        <v>0</v>
      </c>
      <c r="AN114" s="24">
        <v>21</v>
      </c>
      <c r="AO114" s="24">
        <f>G114*0</f>
        <v>0</v>
      </c>
      <c r="AP114" s="24">
        <f>G114*(1-0)</f>
        <v>0</v>
      </c>
      <c r="AQ114" s="26" t="s">
        <v>89</v>
      </c>
      <c r="AV114" s="24">
        <f>ROUND(AW114+AX114,2)</f>
        <v>0</v>
      </c>
      <c r="AW114" s="24">
        <f>ROUND(F114*AO114,2)</f>
        <v>0</v>
      </c>
      <c r="AX114" s="24">
        <f>ROUND(F114*AP114,2)</f>
        <v>0</v>
      </c>
      <c r="AY114" s="26" t="s">
        <v>229</v>
      </c>
      <c r="AZ114" s="26" t="s">
        <v>230</v>
      </c>
      <c r="BA114" s="10" t="s">
        <v>61</v>
      </c>
      <c r="BC114" s="24">
        <f>AW114+AX114</f>
        <v>0</v>
      </c>
      <c r="BD114" s="24">
        <f>G114/(100-BE114)*100</f>
        <v>0</v>
      </c>
      <c r="BE114" s="24">
        <v>0</v>
      </c>
      <c r="BF114" s="24">
        <f>114</f>
        <v>114</v>
      </c>
      <c r="BH114" s="24">
        <f>F114*AO114</f>
        <v>0</v>
      </c>
      <c r="BI114" s="24">
        <f>F114*AP114</f>
        <v>0</v>
      </c>
      <c r="BJ114" s="24">
        <f>F114*G114</f>
        <v>0</v>
      </c>
      <c r="BK114" s="24"/>
      <c r="BL114" s="24">
        <v>56</v>
      </c>
      <c r="BW114" s="24">
        <v>21</v>
      </c>
      <c r="BX114" s="4" t="s">
        <v>243</v>
      </c>
    </row>
    <row r="115" spans="1:76" x14ac:dyDescent="0.25">
      <c r="A115" s="27"/>
      <c r="C115" s="28" t="s">
        <v>244</v>
      </c>
      <c r="D115" s="28" t="s">
        <v>51</v>
      </c>
      <c r="F115" s="29">
        <v>580.20699999999999</v>
      </c>
      <c r="K115" s="30"/>
    </row>
    <row r="116" spans="1:76" x14ac:dyDescent="0.25">
      <c r="A116" s="33" t="s">
        <v>51</v>
      </c>
      <c r="B116" s="34" t="s">
        <v>245</v>
      </c>
      <c r="C116" s="94" t="s">
        <v>246</v>
      </c>
      <c r="D116" s="95"/>
      <c r="E116" s="35" t="s">
        <v>4</v>
      </c>
      <c r="F116" s="35" t="s">
        <v>4</v>
      </c>
      <c r="G116" s="35" t="s">
        <v>4</v>
      </c>
      <c r="H116" s="1">
        <f>SUM(H117:H120)</f>
        <v>0</v>
      </c>
      <c r="I116" s="1">
        <f>SUM(I117:I120)</f>
        <v>0</v>
      </c>
      <c r="J116" s="1">
        <f>SUM(J117:J120)</f>
        <v>0</v>
      </c>
      <c r="K116" s="36" t="s">
        <v>51</v>
      </c>
      <c r="AI116" s="10" t="s">
        <v>51</v>
      </c>
      <c r="AS116" s="1">
        <f>SUM(AJ117:AJ120)</f>
        <v>0</v>
      </c>
      <c r="AT116" s="1">
        <f>SUM(AK117:AK120)</f>
        <v>0</v>
      </c>
      <c r="AU116" s="1">
        <f>SUM(AL117:AL120)</f>
        <v>0</v>
      </c>
    </row>
    <row r="117" spans="1:76" x14ac:dyDescent="0.25">
      <c r="A117" s="2" t="s">
        <v>247</v>
      </c>
      <c r="B117" s="3" t="s">
        <v>248</v>
      </c>
      <c r="C117" s="75" t="s">
        <v>249</v>
      </c>
      <c r="D117" s="70"/>
      <c r="E117" s="3" t="s">
        <v>156</v>
      </c>
      <c r="F117" s="24">
        <v>812</v>
      </c>
      <c r="G117" s="24">
        <v>0</v>
      </c>
      <c r="H117" s="24">
        <f>ROUND(F117*AO117,2)</f>
        <v>0</v>
      </c>
      <c r="I117" s="24">
        <f>ROUND(F117*AP117,2)</f>
        <v>0</v>
      </c>
      <c r="J117" s="24">
        <f>ROUND(F117*G117,2)</f>
        <v>0</v>
      </c>
      <c r="K117" s="25" t="s">
        <v>74</v>
      </c>
      <c r="Z117" s="24">
        <f>ROUND(IF(AQ117="5",BJ117,0),2)</f>
        <v>0</v>
      </c>
      <c r="AB117" s="24">
        <f>ROUND(IF(AQ117="1",BH117,0),2)</f>
        <v>0</v>
      </c>
      <c r="AC117" s="24">
        <f>ROUND(IF(AQ117="1",BI117,0),2)</f>
        <v>0</v>
      </c>
      <c r="AD117" s="24">
        <f>ROUND(IF(AQ117="7",BH117,0),2)</f>
        <v>0</v>
      </c>
      <c r="AE117" s="24">
        <f>ROUND(IF(AQ117="7",BI117,0),2)</f>
        <v>0</v>
      </c>
      <c r="AF117" s="24">
        <f>ROUND(IF(AQ117="2",BH117,0),2)</f>
        <v>0</v>
      </c>
      <c r="AG117" s="24">
        <f>ROUND(IF(AQ117="2",BI117,0),2)</f>
        <v>0</v>
      </c>
      <c r="AH117" s="24">
        <f>ROUND(IF(AQ117="0",BJ117,0),2)</f>
        <v>0</v>
      </c>
      <c r="AI117" s="10" t="s">
        <v>51</v>
      </c>
      <c r="AJ117" s="24">
        <f>IF(AN117=0,J117,0)</f>
        <v>0</v>
      </c>
      <c r="AK117" s="24">
        <f>IF(AN117=12,J117,0)</f>
        <v>0</v>
      </c>
      <c r="AL117" s="24">
        <f>IF(AN117=21,J117,0)</f>
        <v>0</v>
      </c>
      <c r="AN117" s="24">
        <v>21</v>
      </c>
      <c r="AO117" s="24">
        <f>G117*0.509613066</f>
        <v>0</v>
      </c>
      <c r="AP117" s="24">
        <f>G117*(1-0.509613066)</f>
        <v>0</v>
      </c>
      <c r="AQ117" s="26" t="s">
        <v>54</v>
      </c>
      <c r="AV117" s="24">
        <f>ROUND(AW117+AX117,2)</f>
        <v>0</v>
      </c>
      <c r="AW117" s="24">
        <f>ROUND(F117*AO117,2)</f>
        <v>0</v>
      </c>
      <c r="AX117" s="24">
        <f>ROUND(F117*AP117,2)</f>
        <v>0</v>
      </c>
      <c r="AY117" s="26" t="s">
        <v>250</v>
      </c>
      <c r="AZ117" s="26" t="s">
        <v>230</v>
      </c>
      <c r="BA117" s="10" t="s">
        <v>61</v>
      </c>
      <c r="BC117" s="24">
        <f>AW117+AX117</f>
        <v>0</v>
      </c>
      <c r="BD117" s="24">
        <f>G117/(100-BE117)*100</f>
        <v>0</v>
      </c>
      <c r="BE117" s="24">
        <v>0</v>
      </c>
      <c r="BF117" s="24">
        <f>117</f>
        <v>117</v>
      </c>
      <c r="BH117" s="24">
        <f>F117*AO117</f>
        <v>0</v>
      </c>
      <c r="BI117" s="24">
        <f>F117*AP117</f>
        <v>0</v>
      </c>
      <c r="BJ117" s="24">
        <f>F117*G117</f>
        <v>0</v>
      </c>
      <c r="BK117" s="24"/>
      <c r="BL117" s="24">
        <v>58</v>
      </c>
      <c r="BW117" s="24">
        <v>21</v>
      </c>
      <c r="BX117" s="4" t="s">
        <v>249</v>
      </c>
    </row>
    <row r="118" spans="1:76" x14ac:dyDescent="0.25">
      <c r="A118" s="27"/>
      <c r="C118" s="28" t="s">
        <v>231</v>
      </c>
      <c r="D118" s="28" t="s">
        <v>51</v>
      </c>
      <c r="F118" s="29">
        <v>812</v>
      </c>
      <c r="K118" s="30"/>
    </row>
    <row r="119" spans="1:76" ht="25.5" x14ac:dyDescent="0.25">
      <c r="A119" s="27"/>
      <c r="B119" s="31" t="s">
        <v>62</v>
      </c>
      <c r="C119" s="91" t="s">
        <v>251</v>
      </c>
      <c r="D119" s="92"/>
      <c r="E119" s="92"/>
      <c r="F119" s="92"/>
      <c r="G119" s="92"/>
      <c r="H119" s="92"/>
      <c r="I119" s="92"/>
      <c r="J119" s="92"/>
      <c r="K119" s="93"/>
      <c r="BX119" s="32" t="s">
        <v>251</v>
      </c>
    </row>
    <row r="120" spans="1:76" x14ac:dyDescent="0.25">
      <c r="A120" s="2" t="s">
        <v>177</v>
      </c>
      <c r="B120" s="3" t="s">
        <v>252</v>
      </c>
      <c r="C120" s="75" t="s">
        <v>253</v>
      </c>
      <c r="D120" s="70"/>
      <c r="E120" s="3" t="s">
        <v>169</v>
      </c>
      <c r="F120" s="24">
        <v>150</v>
      </c>
      <c r="G120" s="24">
        <v>0</v>
      </c>
      <c r="H120" s="24">
        <f>ROUND(F120*AO120,2)</f>
        <v>0</v>
      </c>
      <c r="I120" s="24">
        <f>ROUND(F120*AP120,2)</f>
        <v>0</v>
      </c>
      <c r="J120" s="24">
        <f>ROUND(F120*G120,2)</f>
        <v>0</v>
      </c>
      <c r="K120" s="25" t="s">
        <v>74</v>
      </c>
      <c r="Z120" s="24">
        <f>ROUND(IF(AQ120="5",BJ120,0),2)</f>
        <v>0</v>
      </c>
      <c r="AB120" s="24">
        <f>ROUND(IF(AQ120="1",BH120,0),2)</f>
        <v>0</v>
      </c>
      <c r="AC120" s="24">
        <f>ROUND(IF(AQ120="1",BI120,0),2)</f>
        <v>0</v>
      </c>
      <c r="AD120" s="24">
        <f>ROUND(IF(AQ120="7",BH120,0),2)</f>
        <v>0</v>
      </c>
      <c r="AE120" s="24">
        <f>ROUND(IF(AQ120="7",BI120,0),2)</f>
        <v>0</v>
      </c>
      <c r="AF120" s="24">
        <f>ROUND(IF(AQ120="2",BH120,0),2)</f>
        <v>0</v>
      </c>
      <c r="AG120" s="24">
        <f>ROUND(IF(AQ120="2",BI120,0),2)</f>
        <v>0</v>
      </c>
      <c r="AH120" s="24">
        <f>ROUND(IF(AQ120="0",BJ120,0),2)</f>
        <v>0</v>
      </c>
      <c r="AI120" s="10" t="s">
        <v>51</v>
      </c>
      <c r="AJ120" s="24">
        <f>IF(AN120=0,J120,0)</f>
        <v>0</v>
      </c>
      <c r="AK120" s="24">
        <f>IF(AN120=12,J120,0)</f>
        <v>0</v>
      </c>
      <c r="AL120" s="24">
        <f>IF(AN120=21,J120,0)</f>
        <v>0</v>
      </c>
      <c r="AN120" s="24">
        <v>21</v>
      </c>
      <c r="AO120" s="24">
        <f>G120*0.252910603</f>
        <v>0</v>
      </c>
      <c r="AP120" s="24">
        <f>G120*(1-0.252910603)</f>
        <v>0</v>
      </c>
      <c r="AQ120" s="26" t="s">
        <v>54</v>
      </c>
      <c r="AV120" s="24">
        <f>ROUND(AW120+AX120,2)</f>
        <v>0</v>
      </c>
      <c r="AW120" s="24">
        <f>ROUND(F120*AO120,2)</f>
        <v>0</v>
      </c>
      <c r="AX120" s="24">
        <f>ROUND(F120*AP120,2)</f>
        <v>0</v>
      </c>
      <c r="AY120" s="26" t="s">
        <v>250</v>
      </c>
      <c r="AZ120" s="26" t="s">
        <v>230</v>
      </c>
      <c r="BA120" s="10" t="s">
        <v>61</v>
      </c>
      <c r="BC120" s="24">
        <f>AW120+AX120</f>
        <v>0</v>
      </c>
      <c r="BD120" s="24">
        <f>G120/(100-BE120)*100</f>
        <v>0</v>
      </c>
      <c r="BE120" s="24">
        <v>0</v>
      </c>
      <c r="BF120" s="24">
        <f>120</f>
        <v>120</v>
      </c>
      <c r="BH120" s="24">
        <f>F120*AO120</f>
        <v>0</v>
      </c>
      <c r="BI120" s="24">
        <f>F120*AP120</f>
        <v>0</v>
      </c>
      <c r="BJ120" s="24">
        <f>F120*G120</f>
        <v>0</v>
      </c>
      <c r="BK120" s="24"/>
      <c r="BL120" s="24">
        <v>58</v>
      </c>
      <c r="BW120" s="24">
        <v>21</v>
      </c>
      <c r="BX120" s="4" t="s">
        <v>253</v>
      </c>
    </row>
    <row r="121" spans="1:76" x14ac:dyDescent="0.25">
      <c r="A121" s="27"/>
      <c r="C121" s="28" t="s">
        <v>254</v>
      </c>
      <c r="D121" s="28" t="s">
        <v>51</v>
      </c>
      <c r="F121" s="29">
        <v>150</v>
      </c>
      <c r="K121" s="30"/>
    </row>
    <row r="122" spans="1:76" x14ac:dyDescent="0.25">
      <c r="A122" s="33" t="s">
        <v>51</v>
      </c>
      <c r="B122" s="34" t="s">
        <v>255</v>
      </c>
      <c r="C122" s="94" t="s">
        <v>256</v>
      </c>
      <c r="D122" s="95"/>
      <c r="E122" s="35" t="s">
        <v>4</v>
      </c>
      <c r="F122" s="35" t="s">
        <v>4</v>
      </c>
      <c r="G122" s="35" t="s">
        <v>4</v>
      </c>
      <c r="H122" s="1">
        <f>SUM(H123:H130)</f>
        <v>0</v>
      </c>
      <c r="I122" s="1">
        <f>SUM(I123:I130)</f>
        <v>0</v>
      </c>
      <c r="J122" s="1">
        <f>SUM(J123:J130)</f>
        <v>0</v>
      </c>
      <c r="K122" s="36" t="s">
        <v>51</v>
      </c>
      <c r="AI122" s="10" t="s">
        <v>51</v>
      </c>
      <c r="AS122" s="1">
        <f>SUM(AJ123:AJ130)</f>
        <v>0</v>
      </c>
      <c r="AT122" s="1">
        <f>SUM(AK123:AK130)</f>
        <v>0</v>
      </c>
      <c r="AU122" s="1">
        <f>SUM(AL123:AL130)</f>
        <v>0</v>
      </c>
    </row>
    <row r="123" spans="1:76" x14ac:dyDescent="0.25">
      <c r="A123" s="2" t="s">
        <v>257</v>
      </c>
      <c r="B123" s="3" t="s">
        <v>258</v>
      </c>
      <c r="C123" s="75" t="s">
        <v>259</v>
      </c>
      <c r="D123" s="70"/>
      <c r="E123" s="3" t="s">
        <v>156</v>
      </c>
      <c r="F123" s="24">
        <v>6</v>
      </c>
      <c r="G123" s="24">
        <v>0</v>
      </c>
      <c r="H123" s="24">
        <f>ROUND(F123*AO123,2)</f>
        <v>0</v>
      </c>
      <c r="I123" s="24">
        <f>ROUND(F123*AP123,2)</f>
        <v>0</v>
      </c>
      <c r="J123" s="24">
        <f>ROUND(F123*G123,2)</f>
        <v>0</v>
      </c>
      <c r="K123" s="25" t="s">
        <v>74</v>
      </c>
      <c r="Z123" s="24">
        <f>ROUND(IF(AQ123="5",BJ123,0),2)</f>
        <v>0</v>
      </c>
      <c r="AB123" s="24">
        <f>ROUND(IF(AQ123="1",BH123,0),2)</f>
        <v>0</v>
      </c>
      <c r="AC123" s="24">
        <f>ROUND(IF(AQ123="1",BI123,0),2)</f>
        <v>0</v>
      </c>
      <c r="AD123" s="24">
        <f>ROUND(IF(AQ123="7",BH123,0),2)</f>
        <v>0</v>
      </c>
      <c r="AE123" s="24">
        <f>ROUND(IF(AQ123="7",BI123,0),2)</f>
        <v>0</v>
      </c>
      <c r="AF123" s="24">
        <f>ROUND(IF(AQ123="2",BH123,0),2)</f>
        <v>0</v>
      </c>
      <c r="AG123" s="24">
        <f>ROUND(IF(AQ123="2",BI123,0),2)</f>
        <v>0</v>
      </c>
      <c r="AH123" s="24">
        <f>ROUND(IF(AQ123="0",BJ123,0),2)</f>
        <v>0</v>
      </c>
      <c r="AI123" s="10" t="s">
        <v>51</v>
      </c>
      <c r="AJ123" s="24">
        <f>IF(AN123=0,J123,0)</f>
        <v>0</v>
      </c>
      <c r="AK123" s="24">
        <f>IF(AN123=12,J123,0)</f>
        <v>0</v>
      </c>
      <c r="AL123" s="24">
        <f>IF(AN123=21,J123,0)</f>
        <v>0</v>
      </c>
      <c r="AN123" s="24">
        <v>21</v>
      </c>
      <c r="AO123" s="24">
        <f>G123*0.485750587</f>
        <v>0</v>
      </c>
      <c r="AP123" s="24">
        <f>G123*(1-0.485750587)</f>
        <v>0</v>
      </c>
      <c r="AQ123" s="26" t="s">
        <v>54</v>
      </c>
      <c r="AV123" s="24">
        <f>ROUND(AW123+AX123,2)</f>
        <v>0</v>
      </c>
      <c r="AW123" s="24">
        <f>ROUND(F123*AO123,2)</f>
        <v>0</v>
      </c>
      <c r="AX123" s="24">
        <f>ROUND(F123*AP123,2)</f>
        <v>0</v>
      </c>
      <c r="AY123" s="26" t="s">
        <v>260</v>
      </c>
      <c r="AZ123" s="26" t="s">
        <v>230</v>
      </c>
      <c r="BA123" s="10" t="s">
        <v>61</v>
      </c>
      <c r="BC123" s="24">
        <f>AW123+AX123</f>
        <v>0</v>
      </c>
      <c r="BD123" s="24">
        <f>G123/(100-BE123)*100</f>
        <v>0</v>
      </c>
      <c r="BE123" s="24">
        <v>0</v>
      </c>
      <c r="BF123" s="24">
        <f>123</f>
        <v>123</v>
      </c>
      <c r="BH123" s="24">
        <f>F123*AO123</f>
        <v>0</v>
      </c>
      <c r="BI123" s="24">
        <f>F123*AP123</f>
        <v>0</v>
      </c>
      <c r="BJ123" s="24">
        <f>F123*G123</f>
        <v>0</v>
      </c>
      <c r="BK123" s="24"/>
      <c r="BL123" s="24">
        <v>59</v>
      </c>
      <c r="BW123" s="24">
        <v>21</v>
      </c>
      <c r="BX123" s="4" t="s">
        <v>259</v>
      </c>
    </row>
    <row r="124" spans="1:76" x14ac:dyDescent="0.25">
      <c r="A124" s="27"/>
      <c r="C124" s="28" t="s">
        <v>261</v>
      </c>
      <c r="D124" s="28" t="s">
        <v>262</v>
      </c>
      <c r="F124" s="29">
        <v>6</v>
      </c>
      <c r="K124" s="30"/>
    </row>
    <row r="125" spans="1:76" ht="51" x14ac:dyDescent="0.25">
      <c r="A125" s="27"/>
      <c r="B125" s="31" t="s">
        <v>62</v>
      </c>
      <c r="C125" s="91" t="s">
        <v>263</v>
      </c>
      <c r="D125" s="92"/>
      <c r="E125" s="92"/>
      <c r="F125" s="92"/>
      <c r="G125" s="92"/>
      <c r="H125" s="92"/>
      <c r="I125" s="92"/>
      <c r="J125" s="92"/>
      <c r="K125" s="93"/>
      <c r="BX125" s="32" t="s">
        <v>263</v>
      </c>
    </row>
    <row r="126" spans="1:76" x14ac:dyDescent="0.25">
      <c r="A126" s="2" t="s">
        <v>264</v>
      </c>
      <c r="B126" s="3" t="s">
        <v>265</v>
      </c>
      <c r="C126" s="75" t="s">
        <v>266</v>
      </c>
      <c r="D126" s="70"/>
      <c r="E126" s="3" t="s">
        <v>169</v>
      </c>
      <c r="F126" s="24">
        <v>134</v>
      </c>
      <c r="G126" s="24">
        <v>0</v>
      </c>
      <c r="H126" s="24">
        <f>ROUND(F126*AO126,2)</f>
        <v>0</v>
      </c>
      <c r="I126" s="24">
        <f>ROUND(F126*AP126,2)</f>
        <v>0</v>
      </c>
      <c r="J126" s="24">
        <f>ROUND(F126*G126,2)</f>
        <v>0</v>
      </c>
      <c r="K126" s="25" t="s">
        <v>74</v>
      </c>
      <c r="Z126" s="24">
        <f>ROUND(IF(AQ126="5",BJ126,0),2)</f>
        <v>0</v>
      </c>
      <c r="AB126" s="24">
        <f>ROUND(IF(AQ126="1",BH126,0),2)</f>
        <v>0</v>
      </c>
      <c r="AC126" s="24">
        <f>ROUND(IF(AQ126="1",BI126,0),2)</f>
        <v>0</v>
      </c>
      <c r="AD126" s="24">
        <f>ROUND(IF(AQ126="7",BH126,0),2)</f>
        <v>0</v>
      </c>
      <c r="AE126" s="24">
        <f>ROUND(IF(AQ126="7",BI126,0),2)</f>
        <v>0</v>
      </c>
      <c r="AF126" s="24">
        <f>ROUND(IF(AQ126="2",BH126,0),2)</f>
        <v>0</v>
      </c>
      <c r="AG126" s="24">
        <f>ROUND(IF(AQ126="2",BI126,0),2)</f>
        <v>0</v>
      </c>
      <c r="AH126" s="24">
        <f>ROUND(IF(AQ126="0",BJ126,0),2)</f>
        <v>0</v>
      </c>
      <c r="AI126" s="10" t="s">
        <v>51</v>
      </c>
      <c r="AJ126" s="24">
        <f>IF(AN126=0,J126,0)</f>
        <v>0</v>
      </c>
      <c r="AK126" s="24">
        <f>IF(AN126=12,J126,0)</f>
        <v>0</v>
      </c>
      <c r="AL126" s="24">
        <f>IF(AN126=21,J126,0)</f>
        <v>0</v>
      </c>
      <c r="AN126" s="24">
        <v>21</v>
      </c>
      <c r="AO126" s="24">
        <f>G126*0.733949843</f>
        <v>0</v>
      </c>
      <c r="AP126" s="24">
        <f>G126*(1-0.733949843)</f>
        <v>0</v>
      </c>
      <c r="AQ126" s="26" t="s">
        <v>54</v>
      </c>
      <c r="AV126" s="24">
        <f>ROUND(AW126+AX126,2)</f>
        <v>0</v>
      </c>
      <c r="AW126" s="24">
        <f>ROUND(F126*AO126,2)</f>
        <v>0</v>
      </c>
      <c r="AX126" s="24">
        <f>ROUND(F126*AP126,2)</f>
        <v>0</v>
      </c>
      <c r="AY126" s="26" t="s">
        <v>260</v>
      </c>
      <c r="AZ126" s="26" t="s">
        <v>230</v>
      </c>
      <c r="BA126" s="10" t="s">
        <v>61</v>
      </c>
      <c r="BC126" s="24">
        <f>AW126+AX126</f>
        <v>0</v>
      </c>
      <c r="BD126" s="24">
        <f>G126/(100-BE126)*100</f>
        <v>0</v>
      </c>
      <c r="BE126" s="24">
        <v>0</v>
      </c>
      <c r="BF126" s="24">
        <f>126</f>
        <v>126</v>
      </c>
      <c r="BH126" s="24">
        <f>F126*AO126</f>
        <v>0</v>
      </c>
      <c r="BI126" s="24">
        <f>F126*AP126</f>
        <v>0</v>
      </c>
      <c r="BJ126" s="24">
        <f>F126*G126</f>
        <v>0</v>
      </c>
      <c r="BK126" s="24"/>
      <c r="BL126" s="24">
        <v>59</v>
      </c>
      <c r="BW126" s="24">
        <v>21</v>
      </c>
      <c r="BX126" s="4" t="s">
        <v>266</v>
      </c>
    </row>
    <row r="127" spans="1:76" x14ac:dyDescent="0.25">
      <c r="A127" s="27"/>
      <c r="C127" s="28" t="s">
        <v>267</v>
      </c>
      <c r="D127" s="28" t="s">
        <v>268</v>
      </c>
      <c r="F127" s="29">
        <v>134</v>
      </c>
      <c r="K127" s="30"/>
    </row>
    <row r="128" spans="1:76" x14ac:dyDescent="0.25">
      <c r="A128" s="2" t="s">
        <v>269</v>
      </c>
      <c r="B128" s="3" t="s">
        <v>270</v>
      </c>
      <c r="C128" s="75" t="s">
        <v>271</v>
      </c>
      <c r="D128" s="70"/>
      <c r="E128" s="3" t="s">
        <v>73</v>
      </c>
      <c r="F128" s="24">
        <v>12.06</v>
      </c>
      <c r="G128" s="24">
        <v>0</v>
      </c>
      <c r="H128" s="24">
        <f>ROUND(F128*AO128,2)</f>
        <v>0</v>
      </c>
      <c r="I128" s="24">
        <f>ROUND(F128*AP128,2)</f>
        <v>0</v>
      </c>
      <c r="J128" s="24">
        <f>ROUND(F128*G128,2)</f>
        <v>0</v>
      </c>
      <c r="K128" s="25" t="s">
        <v>74</v>
      </c>
      <c r="Z128" s="24">
        <f>ROUND(IF(AQ128="5",BJ128,0),2)</f>
        <v>0</v>
      </c>
      <c r="AB128" s="24">
        <f>ROUND(IF(AQ128="1",BH128,0),2)</f>
        <v>0</v>
      </c>
      <c r="AC128" s="24">
        <f>ROUND(IF(AQ128="1",BI128,0),2)</f>
        <v>0</v>
      </c>
      <c r="AD128" s="24">
        <f>ROUND(IF(AQ128="7",BH128,0),2)</f>
        <v>0</v>
      </c>
      <c r="AE128" s="24">
        <f>ROUND(IF(AQ128="7",BI128,0),2)</f>
        <v>0</v>
      </c>
      <c r="AF128" s="24">
        <f>ROUND(IF(AQ128="2",BH128,0),2)</f>
        <v>0</v>
      </c>
      <c r="AG128" s="24">
        <f>ROUND(IF(AQ128="2",BI128,0),2)</f>
        <v>0</v>
      </c>
      <c r="AH128" s="24">
        <f>ROUND(IF(AQ128="0",BJ128,0),2)</f>
        <v>0</v>
      </c>
      <c r="AI128" s="10" t="s">
        <v>51</v>
      </c>
      <c r="AJ128" s="24">
        <f>IF(AN128=0,J128,0)</f>
        <v>0</v>
      </c>
      <c r="AK128" s="24">
        <f>IF(AN128=12,J128,0)</f>
        <v>0</v>
      </c>
      <c r="AL128" s="24">
        <f>IF(AN128=21,J128,0)</f>
        <v>0</v>
      </c>
      <c r="AN128" s="24">
        <v>21</v>
      </c>
      <c r="AO128" s="24">
        <f>G128*0.787363217</f>
        <v>0</v>
      </c>
      <c r="AP128" s="24">
        <f>G128*(1-0.787363217)</f>
        <v>0</v>
      </c>
      <c r="AQ128" s="26" t="s">
        <v>54</v>
      </c>
      <c r="AV128" s="24">
        <f>ROUND(AW128+AX128,2)</f>
        <v>0</v>
      </c>
      <c r="AW128" s="24">
        <f>ROUND(F128*AO128,2)</f>
        <v>0</v>
      </c>
      <c r="AX128" s="24">
        <f>ROUND(F128*AP128,2)</f>
        <v>0</v>
      </c>
      <c r="AY128" s="26" t="s">
        <v>260</v>
      </c>
      <c r="AZ128" s="26" t="s">
        <v>230</v>
      </c>
      <c r="BA128" s="10" t="s">
        <v>61</v>
      </c>
      <c r="BC128" s="24">
        <f>AW128+AX128</f>
        <v>0</v>
      </c>
      <c r="BD128" s="24">
        <f>G128/(100-BE128)*100</f>
        <v>0</v>
      </c>
      <c r="BE128" s="24">
        <v>0</v>
      </c>
      <c r="BF128" s="24">
        <f>128</f>
        <v>128</v>
      </c>
      <c r="BH128" s="24">
        <f>F128*AO128</f>
        <v>0</v>
      </c>
      <c r="BI128" s="24">
        <f>F128*AP128</f>
        <v>0</v>
      </c>
      <c r="BJ128" s="24">
        <f>F128*G128</f>
        <v>0</v>
      </c>
      <c r="BK128" s="24"/>
      <c r="BL128" s="24">
        <v>59</v>
      </c>
      <c r="BW128" s="24">
        <v>21</v>
      </c>
      <c r="BX128" s="4" t="s">
        <v>271</v>
      </c>
    </row>
    <row r="129" spans="1:76" x14ac:dyDescent="0.25">
      <c r="A129" s="27"/>
      <c r="C129" s="28" t="s">
        <v>272</v>
      </c>
      <c r="D129" s="28" t="s">
        <v>51</v>
      </c>
      <c r="F129" s="29">
        <v>12.06</v>
      </c>
      <c r="K129" s="30"/>
    </row>
    <row r="130" spans="1:76" x14ac:dyDescent="0.25">
      <c r="A130" s="2" t="s">
        <v>273</v>
      </c>
      <c r="B130" s="3" t="s">
        <v>274</v>
      </c>
      <c r="C130" s="75" t="s">
        <v>275</v>
      </c>
      <c r="D130" s="70"/>
      <c r="E130" s="3" t="s">
        <v>195</v>
      </c>
      <c r="F130" s="24">
        <v>51.180999999999997</v>
      </c>
      <c r="G130" s="24">
        <v>0</v>
      </c>
      <c r="H130" s="24">
        <f>ROUND(F130*AO130,2)</f>
        <v>0</v>
      </c>
      <c r="I130" s="24">
        <f>ROUND(F130*AP130,2)</f>
        <v>0</v>
      </c>
      <c r="J130" s="24">
        <f>ROUND(F130*G130,2)</f>
        <v>0</v>
      </c>
      <c r="K130" s="25" t="s">
        <v>74</v>
      </c>
      <c r="Z130" s="24">
        <f>ROUND(IF(AQ130="5",BJ130,0),2)</f>
        <v>0</v>
      </c>
      <c r="AB130" s="24">
        <f>ROUND(IF(AQ130="1",BH130,0),2)</f>
        <v>0</v>
      </c>
      <c r="AC130" s="24">
        <f>ROUND(IF(AQ130="1",BI130,0),2)</f>
        <v>0</v>
      </c>
      <c r="AD130" s="24">
        <f>ROUND(IF(AQ130="7",BH130,0),2)</f>
        <v>0</v>
      </c>
      <c r="AE130" s="24">
        <f>ROUND(IF(AQ130="7",BI130,0),2)</f>
        <v>0</v>
      </c>
      <c r="AF130" s="24">
        <f>ROUND(IF(AQ130="2",BH130,0),2)</f>
        <v>0</v>
      </c>
      <c r="AG130" s="24">
        <f>ROUND(IF(AQ130="2",BI130,0),2)</f>
        <v>0</v>
      </c>
      <c r="AH130" s="24">
        <f>ROUND(IF(AQ130="0",BJ130,0),2)</f>
        <v>0</v>
      </c>
      <c r="AI130" s="10" t="s">
        <v>51</v>
      </c>
      <c r="AJ130" s="24">
        <f>IF(AN130=0,J130,0)</f>
        <v>0</v>
      </c>
      <c r="AK130" s="24">
        <f>IF(AN130=12,J130,0)</f>
        <v>0</v>
      </c>
      <c r="AL130" s="24">
        <f>IF(AN130=21,J130,0)</f>
        <v>0</v>
      </c>
      <c r="AN130" s="24">
        <v>21</v>
      </c>
      <c r="AO130" s="24">
        <f>G130*0</f>
        <v>0</v>
      </c>
      <c r="AP130" s="24">
        <f>G130*(1-0)</f>
        <v>0</v>
      </c>
      <c r="AQ130" s="26" t="s">
        <v>89</v>
      </c>
      <c r="AV130" s="24">
        <f>ROUND(AW130+AX130,2)</f>
        <v>0</v>
      </c>
      <c r="AW130" s="24">
        <f>ROUND(F130*AO130,2)</f>
        <v>0</v>
      </c>
      <c r="AX130" s="24">
        <f>ROUND(F130*AP130,2)</f>
        <v>0</v>
      </c>
      <c r="AY130" s="26" t="s">
        <v>260</v>
      </c>
      <c r="AZ130" s="26" t="s">
        <v>230</v>
      </c>
      <c r="BA130" s="10" t="s">
        <v>61</v>
      </c>
      <c r="BC130" s="24">
        <f>AW130+AX130</f>
        <v>0</v>
      </c>
      <c r="BD130" s="24">
        <f>G130/(100-BE130)*100</f>
        <v>0</v>
      </c>
      <c r="BE130" s="24">
        <v>0</v>
      </c>
      <c r="BF130" s="24">
        <f>130</f>
        <v>130</v>
      </c>
      <c r="BH130" s="24">
        <f>F130*AO130</f>
        <v>0</v>
      </c>
      <c r="BI130" s="24">
        <f>F130*AP130</f>
        <v>0</v>
      </c>
      <c r="BJ130" s="24">
        <f>F130*G130</f>
        <v>0</v>
      </c>
      <c r="BK130" s="24"/>
      <c r="BL130" s="24">
        <v>59</v>
      </c>
      <c r="BW130" s="24">
        <v>21</v>
      </c>
      <c r="BX130" s="4" t="s">
        <v>275</v>
      </c>
    </row>
    <row r="131" spans="1:76" x14ac:dyDescent="0.25">
      <c r="A131" s="27"/>
      <c r="C131" s="28" t="s">
        <v>276</v>
      </c>
      <c r="D131" s="28" t="s">
        <v>51</v>
      </c>
      <c r="F131" s="29">
        <v>51.180999999999997</v>
      </c>
      <c r="K131" s="30"/>
    </row>
    <row r="132" spans="1:76" x14ac:dyDescent="0.25">
      <c r="A132" s="33" t="s">
        <v>51</v>
      </c>
      <c r="B132" s="34" t="s">
        <v>277</v>
      </c>
      <c r="C132" s="94" t="s">
        <v>278</v>
      </c>
      <c r="D132" s="95"/>
      <c r="E132" s="35" t="s">
        <v>4</v>
      </c>
      <c r="F132" s="35" t="s">
        <v>4</v>
      </c>
      <c r="G132" s="35" t="s">
        <v>4</v>
      </c>
      <c r="H132" s="1">
        <f>SUM(H133:H133)</f>
        <v>0</v>
      </c>
      <c r="I132" s="1">
        <f>SUM(I133:I133)</f>
        <v>0</v>
      </c>
      <c r="J132" s="1">
        <f>SUM(J133:J133)</f>
        <v>0</v>
      </c>
      <c r="K132" s="36" t="s">
        <v>51</v>
      </c>
      <c r="AI132" s="10" t="s">
        <v>51</v>
      </c>
      <c r="AS132" s="1">
        <f>SUM(AJ133:AJ133)</f>
        <v>0</v>
      </c>
      <c r="AT132" s="1">
        <f>SUM(AK133:AK133)</f>
        <v>0</v>
      </c>
      <c r="AU132" s="1">
        <f>SUM(AL133:AL133)</f>
        <v>0</v>
      </c>
    </row>
    <row r="133" spans="1:76" x14ac:dyDescent="0.25">
      <c r="A133" s="2" t="s">
        <v>138</v>
      </c>
      <c r="B133" s="3" t="s">
        <v>279</v>
      </c>
      <c r="C133" s="75" t="s">
        <v>280</v>
      </c>
      <c r="D133" s="70"/>
      <c r="E133" s="3" t="s">
        <v>57</v>
      </c>
      <c r="F133" s="24">
        <v>1</v>
      </c>
      <c r="G133" s="24">
        <v>0</v>
      </c>
      <c r="H133" s="24">
        <f>ROUND(F133*AO133,2)</f>
        <v>0</v>
      </c>
      <c r="I133" s="24">
        <f>ROUND(F133*AP133,2)</f>
        <v>0</v>
      </c>
      <c r="J133" s="24">
        <f>ROUND(F133*G133,2)</f>
        <v>0</v>
      </c>
      <c r="K133" s="25" t="s">
        <v>58</v>
      </c>
      <c r="Z133" s="24">
        <f>ROUND(IF(AQ133="5",BJ133,0),2)</f>
        <v>0</v>
      </c>
      <c r="AB133" s="24">
        <f>ROUND(IF(AQ133="1",BH133,0),2)</f>
        <v>0</v>
      </c>
      <c r="AC133" s="24">
        <f>ROUND(IF(AQ133="1",BI133,0),2)</f>
        <v>0</v>
      </c>
      <c r="AD133" s="24">
        <f>ROUND(IF(AQ133="7",BH133,0),2)</f>
        <v>0</v>
      </c>
      <c r="AE133" s="24">
        <f>ROUND(IF(AQ133="7",BI133,0),2)</f>
        <v>0</v>
      </c>
      <c r="AF133" s="24">
        <f>ROUND(IF(AQ133="2",BH133,0),2)</f>
        <v>0</v>
      </c>
      <c r="AG133" s="24">
        <f>ROUND(IF(AQ133="2",BI133,0),2)</f>
        <v>0</v>
      </c>
      <c r="AH133" s="24">
        <f>ROUND(IF(AQ133="0",BJ133,0),2)</f>
        <v>0</v>
      </c>
      <c r="AI133" s="10" t="s">
        <v>51</v>
      </c>
      <c r="AJ133" s="24">
        <f>IF(AN133=0,J133,0)</f>
        <v>0</v>
      </c>
      <c r="AK133" s="24">
        <f>IF(AN133=12,J133,0)</f>
        <v>0</v>
      </c>
      <c r="AL133" s="24">
        <f>IF(AN133=21,J133,0)</f>
        <v>0</v>
      </c>
      <c r="AN133" s="24">
        <v>21</v>
      </c>
      <c r="AO133" s="24">
        <f>G133*0.911792638</f>
        <v>0</v>
      </c>
      <c r="AP133" s="24">
        <f>G133*(1-0.911792638)</f>
        <v>0</v>
      </c>
      <c r="AQ133" s="26" t="s">
        <v>106</v>
      </c>
      <c r="AV133" s="24">
        <f>ROUND(AW133+AX133,2)</f>
        <v>0</v>
      </c>
      <c r="AW133" s="24">
        <f>ROUND(F133*AO133,2)</f>
        <v>0</v>
      </c>
      <c r="AX133" s="24">
        <f>ROUND(F133*AP133,2)</f>
        <v>0</v>
      </c>
      <c r="AY133" s="26" t="s">
        <v>281</v>
      </c>
      <c r="AZ133" s="26" t="s">
        <v>282</v>
      </c>
      <c r="BA133" s="10" t="s">
        <v>61</v>
      </c>
      <c r="BC133" s="24">
        <f>AW133+AX133</f>
        <v>0</v>
      </c>
      <c r="BD133" s="24">
        <f>G133/(100-BE133)*100</f>
        <v>0</v>
      </c>
      <c r="BE133" s="24">
        <v>0</v>
      </c>
      <c r="BF133" s="24">
        <f>133</f>
        <v>133</v>
      </c>
      <c r="BH133" s="24">
        <f>F133*AO133</f>
        <v>0</v>
      </c>
      <c r="BI133" s="24">
        <f>F133*AP133</f>
        <v>0</v>
      </c>
      <c r="BJ133" s="24">
        <f>F133*G133</f>
        <v>0</v>
      </c>
      <c r="BK133" s="24"/>
      <c r="BL133" s="24">
        <v>767</v>
      </c>
      <c r="BW133" s="24">
        <v>21</v>
      </c>
      <c r="BX133" s="4" t="s">
        <v>280</v>
      </c>
    </row>
    <row r="134" spans="1:76" x14ac:dyDescent="0.25">
      <c r="A134" s="27"/>
      <c r="C134" s="28" t="s">
        <v>54</v>
      </c>
      <c r="D134" s="28" t="s">
        <v>51</v>
      </c>
      <c r="F134" s="29">
        <v>1</v>
      </c>
      <c r="K134" s="30"/>
    </row>
    <row r="135" spans="1:76" x14ac:dyDescent="0.25">
      <c r="A135" s="33" t="s">
        <v>51</v>
      </c>
      <c r="B135" s="34" t="s">
        <v>283</v>
      </c>
      <c r="C135" s="94" t="s">
        <v>284</v>
      </c>
      <c r="D135" s="95"/>
      <c r="E135" s="35" t="s">
        <v>4</v>
      </c>
      <c r="F135" s="35" t="s">
        <v>4</v>
      </c>
      <c r="G135" s="35" t="s">
        <v>4</v>
      </c>
      <c r="H135" s="1">
        <f>SUM(H136:H136)</f>
        <v>0</v>
      </c>
      <c r="I135" s="1">
        <f>SUM(I136:I136)</f>
        <v>0</v>
      </c>
      <c r="J135" s="1">
        <f>SUM(J136:J136)</f>
        <v>0</v>
      </c>
      <c r="K135" s="36" t="s">
        <v>51</v>
      </c>
      <c r="AI135" s="10" t="s">
        <v>51</v>
      </c>
      <c r="AS135" s="1">
        <f>SUM(AJ136:AJ136)</f>
        <v>0</v>
      </c>
      <c r="AT135" s="1">
        <f>SUM(AK136:AK136)</f>
        <v>0</v>
      </c>
      <c r="AU135" s="1">
        <f>SUM(AL136:AL136)</f>
        <v>0</v>
      </c>
    </row>
    <row r="136" spans="1:76" x14ac:dyDescent="0.25">
      <c r="A136" s="2" t="s">
        <v>285</v>
      </c>
      <c r="B136" s="3" t="s">
        <v>286</v>
      </c>
      <c r="C136" s="75" t="s">
        <v>287</v>
      </c>
      <c r="D136" s="70"/>
      <c r="E136" s="3" t="s">
        <v>288</v>
      </c>
      <c r="F136" s="24">
        <v>1</v>
      </c>
      <c r="G136" s="24">
        <v>0</v>
      </c>
      <c r="H136" s="24">
        <f>ROUND(F136*AO136,2)</f>
        <v>0</v>
      </c>
      <c r="I136" s="24">
        <f>ROUND(F136*AP136,2)</f>
        <v>0</v>
      </c>
      <c r="J136" s="24">
        <f>ROUND(F136*G136,2)</f>
        <v>0</v>
      </c>
      <c r="K136" s="25" t="s">
        <v>289</v>
      </c>
      <c r="Z136" s="24">
        <f>ROUND(IF(AQ136="5",BJ136,0),2)</f>
        <v>0</v>
      </c>
      <c r="AB136" s="24">
        <f>ROUND(IF(AQ136="1",BH136,0),2)</f>
        <v>0</v>
      </c>
      <c r="AC136" s="24">
        <f>ROUND(IF(AQ136="1",BI136,0),2)</f>
        <v>0</v>
      </c>
      <c r="AD136" s="24">
        <f>ROUND(IF(AQ136="7",BH136,0),2)</f>
        <v>0</v>
      </c>
      <c r="AE136" s="24">
        <f>ROUND(IF(AQ136="7",BI136,0),2)</f>
        <v>0</v>
      </c>
      <c r="AF136" s="24">
        <f>ROUND(IF(AQ136="2",BH136,0),2)</f>
        <v>0</v>
      </c>
      <c r="AG136" s="24">
        <f>ROUND(IF(AQ136="2",BI136,0),2)</f>
        <v>0</v>
      </c>
      <c r="AH136" s="24">
        <f>ROUND(IF(AQ136="0",BJ136,0),2)</f>
        <v>0</v>
      </c>
      <c r="AI136" s="10" t="s">
        <v>51</v>
      </c>
      <c r="AJ136" s="24">
        <f>IF(AN136=0,J136,0)</f>
        <v>0</v>
      </c>
      <c r="AK136" s="24">
        <f>IF(AN136=12,J136,0)</f>
        <v>0</v>
      </c>
      <c r="AL136" s="24">
        <f>IF(AN136=21,J136,0)</f>
        <v>0</v>
      </c>
      <c r="AN136" s="24">
        <v>21</v>
      </c>
      <c r="AO136" s="24">
        <f>G136*0.0654826</f>
        <v>0</v>
      </c>
      <c r="AP136" s="24">
        <f>G136*(1-0.0654826)</f>
        <v>0</v>
      </c>
      <c r="AQ136" s="26" t="s">
        <v>54</v>
      </c>
      <c r="AV136" s="24">
        <f>ROUND(AW136+AX136,2)</f>
        <v>0</v>
      </c>
      <c r="AW136" s="24">
        <f>ROUND(F136*AO136,2)</f>
        <v>0</v>
      </c>
      <c r="AX136" s="24">
        <f>ROUND(F136*AP136,2)</f>
        <v>0</v>
      </c>
      <c r="AY136" s="26" t="s">
        <v>290</v>
      </c>
      <c r="AZ136" s="26" t="s">
        <v>291</v>
      </c>
      <c r="BA136" s="10" t="s">
        <v>61</v>
      </c>
      <c r="BC136" s="24">
        <f>AW136+AX136</f>
        <v>0</v>
      </c>
      <c r="BD136" s="24">
        <f>G136/(100-BE136)*100</f>
        <v>0</v>
      </c>
      <c r="BE136" s="24">
        <v>0</v>
      </c>
      <c r="BF136" s="24">
        <f>136</f>
        <v>136</v>
      </c>
      <c r="BH136" s="24">
        <f>F136*AO136</f>
        <v>0</v>
      </c>
      <c r="BI136" s="24">
        <f>F136*AP136</f>
        <v>0</v>
      </c>
      <c r="BJ136" s="24">
        <f>F136*G136</f>
        <v>0</v>
      </c>
      <c r="BK136" s="24"/>
      <c r="BL136" s="24">
        <v>87</v>
      </c>
      <c r="BW136" s="24">
        <v>21</v>
      </c>
      <c r="BX136" s="4" t="s">
        <v>287</v>
      </c>
    </row>
    <row r="137" spans="1:76" x14ac:dyDescent="0.25">
      <c r="A137" s="27"/>
      <c r="C137" s="28" t="s">
        <v>54</v>
      </c>
      <c r="D137" s="28" t="s">
        <v>292</v>
      </c>
      <c r="F137" s="29">
        <v>1</v>
      </c>
      <c r="K137" s="30"/>
    </row>
    <row r="138" spans="1:76" x14ac:dyDescent="0.25">
      <c r="A138" s="33" t="s">
        <v>51</v>
      </c>
      <c r="B138" s="34" t="s">
        <v>293</v>
      </c>
      <c r="C138" s="94" t="s">
        <v>294</v>
      </c>
      <c r="D138" s="95"/>
      <c r="E138" s="35" t="s">
        <v>4</v>
      </c>
      <c r="F138" s="35" t="s">
        <v>4</v>
      </c>
      <c r="G138" s="35" t="s">
        <v>4</v>
      </c>
      <c r="H138" s="1">
        <f>SUM(H139:H145)</f>
        <v>0</v>
      </c>
      <c r="I138" s="1">
        <f>SUM(I139:I145)</f>
        <v>0</v>
      </c>
      <c r="J138" s="1">
        <f>SUM(J139:J145)</f>
        <v>0</v>
      </c>
      <c r="K138" s="36" t="s">
        <v>51</v>
      </c>
      <c r="AI138" s="10" t="s">
        <v>51</v>
      </c>
      <c r="AS138" s="1">
        <f>SUM(AJ139:AJ145)</f>
        <v>0</v>
      </c>
      <c r="AT138" s="1">
        <f>SUM(AK139:AK145)</f>
        <v>0</v>
      </c>
      <c r="AU138" s="1">
        <f>SUM(AL139:AL145)</f>
        <v>0</v>
      </c>
    </row>
    <row r="139" spans="1:76" x14ac:dyDescent="0.25">
      <c r="A139" s="2" t="s">
        <v>295</v>
      </c>
      <c r="B139" s="3" t="s">
        <v>296</v>
      </c>
      <c r="C139" s="75" t="s">
        <v>297</v>
      </c>
      <c r="D139" s="70"/>
      <c r="E139" s="3" t="s">
        <v>57</v>
      </c>
      <c r="F139" s="24">
        <v>3</v>
      </c>
      <c r="G139" s="24">
        <v>0</v>
      </c>
      <c r="H139" s="24">
        <f>ROUND(F139*AO139,2)</f>
        <v>0</v>
      </c>
      <c r="I139" s="24">
        <f>ROUND(F139*AP139,2)</f>
        <v>0</v>
      </c>
      <c r="J139" s="24">
        <f>ROUND(F139*G139,2)</f>
        <v>0</v>
      </c>
      <c r="K139" s="25" t="s">
        <v>74</v>
      </c>
      <c r="Z139" s="24">
        <f>ROUND(IF(AQ139="5",BJ139,0),2)</f>
        <v>0</v>
      </c>
      <c r="AB139" s="24">
        <f>ROUND(IF(AQ139="1",BH139,0),2)</f>
        <v>0</v>
      </c>
      <c r="AC139" s="24">
        <f>ROUND(IF(AQ139="1",BI139,0),2)</f>
        <v>0</v>
      </c>
      <c r="AD139" s="24">
        <f>ROUND(IF(AQ139="7",BH139,0),2)</f>
        <v>0</v>
      </c>
      <c r="AE139" s="24">
        <f>ROUND(IF(AQ139="7",BI139,0),2)</f>
        <v>0</v>
      </c>
      <c r="AF139" s="24">
        <f>ROUND(IF(AQ139="2",BH139,0),2)</f>
        <v>0</v>
      </c>
      <c r="AG139" s="24">
        <f>ROUND(IF(AQ139="2",BI139,0),2)</f>
        <v>0</v>
      </c>
      <c r="AH139" s="24">
        <f>ROUND(IF(AQ139="0",BJ139,0),2)</f>
        <v>0</v>
      </c>
      <c r="AI139" s="10" t="s">
        <v>51</v>
      </c>
      <c r="AJ139" s="24">
        <f>IF(AN139=0,J139,0)</f>
        <v>0</v>
      </c>
      <c r="AK139" s="24">
        <f>IF(AN139=12,J139,0)</f>
        <v>0</v>
      </c>
      <c r="AL139" s="24">
        <f>IF(AN139=21,J139,0)</f>
        <v>0</v>
      </c>
      <c r="AN139" s="24">
        <v>21</v>
      </c>
      <c r="AO139" s="24">
        <f>G139*0</f>
        <v>0</v>
      </c>
      <c r="AP139" s="24">
        <f>G139*(1-0)</f>
        <v>0</v>
      </c>
      <c r="AQ139" s="26" t="s">
        <v>54</v>
      </c>
      <c r="AV139" s="24">
        <f>ROUND(AW139+AX139,2)</f>
        <v>0</v>
      </c>
      <c r="AW139" s="24">
        <f>ROUND(F139*AO139,2)</f>
        <v>0</v>
      </c>
      <c r="AX139" s="24">
        <f>ROUND(F139*AP139,2)</f>
        <v>0</v>
      </c>
      <c r="AY139" s="26" t="s">
        <v>298</v>
      </c>
      <c r="AZ139" s="26" t="s">
        <v>291</v>
      </c>
      <c r="BA139" s="10" t="s">
        <v>61</v>
      </c>
      <c r="BC139" s="24">
        <f>AW139+AX139</f>
        <v>0</v>
      </c>
      <c r="BD139" s="24">
        <f>G139/(100-BE139)*100</f>
        <v>0</v>
      </c>
      <c r="BE139" s="24">
        <v>0</v>
      </c>
      <c r="BF139" s="24">
        <f>139</f>
        <v>139</v>
      </c>
      <c r="BH139" s="24">
        <f>F139*AO139</f>
        <v>0</v>
      </c>
      <c r="BI139" s="24">
        <f>F139*AP139</f>
        <v>0</v>
      </c>
      <c r="BJ139" s="24">
        <f>F139*G139</f>
        <v>0</v>
      </c>
      <c r="BK139" s="24"/>
      <c r="BL139" s="24">
        <v>89</v>
      </c>
      <c r="BW139" s="24">
        <v>21</v>
      </c>
      <c r="BX139" s="4" t="s">
        <v>297</v>
      </c>
    </row>
    <row r="140" spans="1:76" x14ac:dyDescent="0.25">
      <c r="A140" s="27"/>
      <c r="C140" s="28" t="s">
        <v>70</v>
      </c>
      <c r="D140" s="28" t="s">
        <v>51</v>
      </c>
      <c r="F140" s="29">
        <v>3</v>
      </c>
      <c r="K140" s="30"/>
    </row>
    <row r="141" spans="1:76" ht="140.25" x14ac:dyDescent="0.25">
      <c r="A141" s="27"/>
      <c r="B141" s="31" t="s">
        <v>62</v>
      </c>
      <c r="C141" s="91" t="s">
        <v>299</v>
      </c>
      <c r="D141" s="92"/>
      <c r="E141" s="92"/>
      <c r="F141" s="92"/>
      <c r="G141" s="92"/>
      <c r="H141" s="92"/>
      <c r="I141" s="92"/>
      <c r="J141" s="92"/>
      <c r="K141" s="93"/>
      <c r="BX141" s="32" t="s">
        <v>299</v>
      </c>
    </row>
    <row r="142" spans="1:76" x14ac:dyDescent="0.25">
      <c r="A142" s="2" t="s">
        <v>214</v>
      </c>
      <c r="B142" s="3" t="s">
        <v>300</v>
      </c>
      <c r="C142" s="75" t="s">
        <v>301</v>
      </c>
      <c r="D142" s="70"/>
      <c r="E142" s="3" t="s">
        <v>57</v>
      </c>
      <c r="F142" s="24">
        <v>3</v>
      </c>
      <c r="G142" s="24">
        <v>0</v>
      </c>
      <c r="H142" s="24">
        <f>ROUND(F142*AO142,2)</f>
        <v>0</v>
      </c>
      <c r="I142" s="24">
        <f>ROUND(F142*AP142,2)</f>
        <v>0</v>
      </c>
      <c r="J142" s="24">
        <f>ROUND(F142*G142,2)</f>
        <v>0</v>
      </c>
      <c r="K142" s="25" t="s">
        <v>289</v>
      </c>
      <c r="Z142" s="24">
        <f>ROUND(IF(AQ142="5",BJ142,0),2)</f>
        <v>0</v>
      </c>
      <c r="AB142" s="24">
        <f>ROUND(IF(AQ142="1",BH142,0),2)</f>
        <v>0</v>
      </c>
      <c r="AC142" s="24">
        <f>ROUND(IF(AQ142="1",BI142,0),2)</f>
        <v>0</v>
      </c>
      <c r="AD142" s="24">
        <f>ROUND(IF(AQ142="7",BH142,0),2)</f>
        <v>0</v>
      </c>
      <c r="AE142" s="24">
        <f>ROUND(IF(AQ142="7",BI142,0),2)</f>
        <v>0</v>
      </c>
      <c r="AF142" s="24">
        <f>ROUND(IF(AQ142="2",BH142,0),2)</f>
        <v>0</v>
      </c>
      <c r="AG142" s="24">
        <f>ROUND(IF(AQ142="2",BI142,0),2)</f>
        <v>0</v>
      </c>
      <c r="AH142" s="24">
        <f>ROUND(IF(AQ142="0",BJ142,0),2)</f>
        <v>0</v>
      </c>
      <c r="AI142" s="10" t="s">
        <v>51</v>
      </c>
      <c r="AJ142" s="24">
        <f>IF(AN142=0,J142,0)</f>
        <v>0</v>
      </c>
      <c r="AK142" s="24">
        <f>IF(AN142=12,J142,0)</f>
        <v>0</v>
      </c>
      <c r="AL142" s="24">
        <f>IF(AN142=21,J142,0)</f>
        <v>0</v>
      </c>
      <c r="AN142" s="24">
        <v>21</v>
      </c>
      <c r="AO142" s="24">
        <f>G142*1</f>
        <v>0</v>
      </c>
      <c r="AP142" s="24">
        <f>G142*(1-1)</f>
        <v>0</v>
      </c>
      <c r="AQ142" s="26" t="s">
        <v>54</v>
      </c>
      <c r="AV142" s="24">
        <f>ROUND(AW142+AX142,2)</f>
        <v>0</v>
      </c>
      <c r="AW142" s="24">
        <f>ROUND(F142*AO142,2)</f>
        <v>0</v>
      </c>
      <c r="AX142" s="24">
        <f>ROUND(F142*AP142,2)</f>
        <v>0</v>
      </c>
      <c r="AY142" s="26" t="s">
        <v>298</v>
      </c>
      <c r="AZ142" s="26" t="s">
        <v>291</v>
      </c>
      <c r="BA142" s="10" t="s">
        <v>61</v>
      </c>
      <c r="BC142" s="24">
        <f>AW142+AX142</f>
        <v>0</v>
      </c>
      <c r="BD142" s="24">
        <f>G142/(100-BE142)*100</f>
        <v>0</v>
      </c>
      <c r="BE142" s="24">
        <v>0</v>
      </c>
      <c r="BF142" s="24">
        <f>142</f>
        <v>142</v>
      </c>
      <c r="BH142" s="24">
        <f>F142*AO142</f>
        <v>0</v>
      </c>
      <c r="BI142" s="24">
        <f>F142*AP142</f>
        <v>0</v>
      </c>
      <c r="BJ142" s="24">
        <f>F142*G142</f>
        <v>0</v>
      </c>
      <c r="BK142" s="24"/>
      <c r="BL142" s="24">
        <v>89</v>
      </c>
      <c r="BW142" s="24">
        <v>21</v>
      </c>
      <c r="BX142" s="4" t="s">
        <v>301</v>
      </c>
    </row>
    <row r="143" spans="1:76" x14ac:dyDescent="0.25">
      <c r="A143" s="27"/>
      <c r="C143" s="28" t="s">
        <v>70</v>
      </c>
      <c r="D143" s="28" t="s">
        <v>51</v>
      </c>
      <c r="F143" s="29">
        <v>3</v>
      </c>
      <c r="K143" s="30"/>
    </row>
    <row r="144" spans="1:76" ht="140.25" x14ac:dyDescent="0.25">
      <c r="A144" s="27"/>
      <c r="B144" s="31" t="s">
        <v>62</v>
      </c>
      <c r="C144" s="91" t="s">
        <v>302</v>
      </c>
      <c r="D144" s="92"/>
      <c r="E144" s="92"/>
      <c r="F144" s="92"/>
      <c r="G144" s="92"/>
      <c r="H144" s="92"/>
      <c r="I144" s="92"/>
      <c r="J144" s="92"/>
      <c r="K144" s="93"/>
      <c r="BX144" s="32" t="s">
        <v>302</v>
      </c>
    </row>
    <row r="145" spans="1:76" x14ac:dyDescent="0.25">
      <c r="A145" s="2" t="s">
        <v>303</v>
      </c>
      <c r="B145" s="3" t="s">
        <v>304</v>
      </c>
      <c r="C145" s="75" t="s">
        <v>305</v>
      </c>
      <c r="D145" s="70"/>
      <c r="E145" s="3" t="s">
        <v>195</v>
      </c>
      <c r="F145" s="24">
        <v>5.3540000000000001</v>
      </c>
      <c r="G145" s="24">
        <v>0</v>
      </c>
      <c r="H145" s="24">
        <f>ROUND(F145*AO145,2)</f>
        <v>0</v>
      </c>
      <c r="I145" s="24">
        <f>ROUND(F145*AP145,2)</f>
        <v>0</v>
      </c>
      <c r="J145" s="24">
        <f>ROUND(F145*G145,2)</f>
        <v>0</v>
      </c>
      <c r="K145" s="25" t="s">
        <v>74</v>
      </c>
      <c r="Z145" s="24">
        <f>ROUND(IF(AQ145="5",BJ145,0),2)</f>
        <v>0</v>
      </c>
      <c r="AB145" s="24">
        <f>ROUND(IF(AQ145="1",BH145,0),2)</f>
        <v>0</v>
      </c>
      <c r="AC145" s="24">
        <f>ROUND(IF(AQ145="1",BI145,0),2)</f>
        <v>0</v>
      </c>
      <c r="AD145" s="24">
        <f>ROUND(IF(AQ145="7",BH145,0),2)</f>
        <v>0</v>
      </c>
      <c r="AE145" s="24">
        <f>ROUND(IF(AQ145="7",BI145,0),2)</f>
        <v>0</v>
      </c>
      <c r="AF145" s="24">
        <f>ROUND(IF(AQ145="2",BH145,0),2)</f>
        <v>0</v>
      </c>
      <c r="AG145" s="24">
        <f>ROUND(IF(AQ145="2",BI145,0),2)</f>
        <v>0</v>
      </c>
      <c r="AH145" s="24">
        <f>ROUND(IF(AQ145="0",BJ145,0),2)</f>
        <v>0</v>
      </c>
      <c r="AI145" s="10" t="s">
        <v>51</v>
      </c>
      <c r="AJ145" s="24">
        <f>IF(AN145=0,J145,0)</f>
        <v>0</v>
      </c>
      <c r="AK145" s="24">
        <f>IF(AN145=12,J145,0)</f>
        <v>0</v>
      </c>
      <c r="AL145" s="24">
        <f>IF(AN145=21,J145,0)</f>
        <v>0</v>
      </c>
      <c r="AN145" s="24">
        <v>21</v>
      </c>
      <c r="AO145" s="24">
        <f>G145*0</f>
        <v>0</v>
      </c>
      <c r="AP145" s="24">
        <f>G145*(1-0)</f>
        <v>0</v>
      </c>
      <c r="AQ145" s="26" t="s">
        <v>89</v>
      </c>
      <c r="AV145" s="24">
        <f>ROUND(AW145+AX145,2)</f>
        <v>0</v>
      </c>
      <c r="AW145" s="24">
        <f>ROUND(F145*AO145,2)</f>
        <v>0</v>
      </c>
      <c r="AX145" s="24">
        <f>ROUND(F145*AP145,2)</f>
        <v>0</v>
      </c>
      <c r="AY145" s="26" t="s">
        <v>298</v>
      </c>
      <c r="AZ145" s="26" t="s">
        <v>291</v>
      </c>
      <c r="BA145" s="10" t="s">
        <v>61</v>
      </c>
      <c r="BC145" s="24">
        <f>AW145+AX145</f>
        <v>0</v>
      </c>
      <c r="BD145" s="24">
        <f>G145/(100-BE145)*100</f>
        <v>0</v>
      </c>
      <c r="BE145" s="24">
        <v>0</v>
      </c>
      <c r="BF145" s="24">
        <f>145</f>
        <v>145</v>
      </c>
      <c r="BH145" s="24">
        <f>F145*AO145</f>
        <v>0</v>
      </c>
      <c r="BI145" s="24">
        <f>F145*AP145</f>
        <v>0</v>
      </c>
      <c r="BJ145" s="24">
        <f>F145*G145</f>
        <v>0</v>
      </c>
      <c r="BK145" s="24"/>
      <c r="BL145" s="24">
        <v>89</v>
      </c>
      <c r="BW145" s="24">
        <v>21</v>
      </c>
      <c r="BX145" s="4" t="s">
        <v>305</v>
      </c>
    </row>
    <row r="146" spans="1:76" x14ac:dyDescent="0.25">
      <c r="A146" s="27"/>
      <c r="C146" s="28" t="s">
        <v>306</v>
      </c>
      <c r="D146" s="28" t="s">
        <v>51</v>
      </c>
      <c r="F146" s="29">
        <v>5.3540000000000001</v>
      </c>
      <c r="K146" s="30"/>
    </row>
    <row r="147" spans="1:76" ht="76.5" x14ac:dyDescent="0.25">
      <c r="A147" s="27"/>
      <c r="B147" s="31" t="s">
        <v>62</v>
      </c>
      <c r="C147" s="91" t="s">
        <v>307</v>
      </c>
      <c r="D147" s="92"/>
      <c r="E147" s="92"/>
      <c r="F147" s="92"/>
      <c r="G147" s="92"/>
      <c r="H147" s="92"/>
      <c r="I147" s="92"/>
      <c r="J147" s="92"/>
      <c r="K147" s="93"/>
      <c r="BX147" s="32" t="s">
        <v>307</v>
      </c>
    </row>
    <row r="148" spans="1:76" x14ac:dyDescent="0.25">
      <c r="A148" s="33" t="s">
        <v>51</v>
      </c>
      <c r="B148" s="34" t="s">
        <v>308</v>
      </c>
      <c r="C148" s="94" t="s">
        <v>309</v>
      </c>
      <c r="D148" s="95"/>
      <c r="E148" s="35" t="s">
        <v>4</v>
      </c>
      <c r="F148" s="35" t="s">
        <v>4</v>
      </c>
      <c r="G148" s="35" t="s">
        <v>4</v>
      </c>
      <c r="H148" s="1">
        <f>SUM(H149:H157)</f>
        <v>0</v>
      </c>
      <c r="I148" s="1">
        <f>SUM(I149:I157)</f>
        <v>0</v>
      </c>
      <c r="J148" s="1">
        <f>SUM(J149:J157)</f>
        <v>0</v>
      </c>
      <c r="K148" s="36" t="s">
        <v>51</v>
      </c>
      <c r="AI148" s="10" t="s">
        <v>51</v>
      </c>
      <c r="AS148" s="1">
        <f>SUM(AJ149:AJ157)</f>
        <v>0</v>
      </c>
      <c r="AT148" s="1">
        <f>SUM(AK149:AK157)</f>
        <v>0</v>
      </c>
      <c r="AU148" s="1">
        <f>SUM(AL149:AL157)</f>
        <v>0</v>
      </c>
    </row>
    <row r="149" spans="1:76" x14ac:dyDescent="0.25">
      <c r="A149" s="2" t="s">
        <v>179</v>
      </c>
      <c r="B149" s="3" t="s">
        <v>310</v>
      </c>
      <c r="C149" s="75" t="s">
        <v>311</v>
      </c>
      <c r="D149" s="70"/>
      <c r="E149" s="3" t="s">
        <v>288</v>
      </c>
      <c r="F149" s="24">
        <v>1</v>
      </c>
      <c r="G149" s="24">
        <v>0</v>
      </c>
      <c r="H149" s="24">
        <f>ROUND(F149*AO149,2)</f>
        <v>0</v>
      </c>
      <c r="I149" s="24">
        <f>ROUND(F149*AP149,2)</f>
        <v>0</v>
      </c>
      <c r="J149" s="24">
        <f>ROUND(F149*G149,2)</f>
        <v>0</v>
      </c>
      <c r="K149" s="25" t="s">
        <v>74</v>
      </c>
      <c r="Z149" s="24">
        <f>ROUND(IF(AQ149="5",BJ149,0),2)</f>
        <v>0</v>
      </c>
      <c r="AB149" s="24">
        <f>ROUND(IF(AQ149="1",BH149,0),2)</f>
        <v>0</v>
      </c>
      <c r="AC149" s="24">
        <f>ROUND(IF(AQ149="1",BI149,0),2)</f>
        <v>0</v>
      </c>
      <c r="AD149" s="24">
        <f>ROUND(IF(AQ149="7",BH149,0),2)</f>
        <v>0</v>
      </c>
      <c r="AE149" s="24">
        <f>ROUND(IF(AQ149="7",BI149,0),2)</f>
        <v>0</v>
      </c>
      <c r="AF149" s="24">
        <f>ROUND(IF(AQ149="2",BH149,0),2)</f>
        <v>0</v>
      </c>
      <c r="AG149" s="24">
        <f>ROUND(IF(AQ149="2",BI149,0),2)</f>
        <v>0</v>
      </c>
      <c r="AH149" s="24">
        <f>ROUND(IF(AQ149="0",BJ149,0),2)</f>
        <v>0</v>
      </c>
      <c r="AI149" s="10" t="s">
        <v>51</v>
      </c>
      <c r="AJ149" s="24">
        <f>IF(AN149=0,J149,0)</f>
        <v>0</v>
      </c>
      <c r="AK149" s="24">
        <f>IF(AN149=12,J149,0)</f>
        <v>0</v>
      </c>
      <c r="AL149" s="24">
        <f>IF(AN149=21,J149,0)</f>
        <v>0</v>
      </c>
      <c r="AN149" s="24">
        <v>21</v>
      </c>
      <c r="AO149" s="24">
        <f>G149*0.461967041</f>
        <v>0</v>
      </c>
      <c r="AP149" s="24">
        <f>G149*(1-0.461967041)</f>
        <v>0</v>
      </c>
      <c r="AQ149" s="26" t="s">
        <v>54</v>
      </c>
      <c r="AV149" s="24">
        <f>ROUND(AW149+AX149,2)</f>
        <v>0</v>
      </c>
      <c r="AW149" s="24">
        <f>ROUND(F149*AO149,2)</f>
        <v>0</v>
      </c>
      <c r="AX149" s="24">
        <f>ROUND(F149*AP149,2)</f>
        <v>0</v>
      </c>
      <c r="AY149" s="26" t="s">
        <v>312</v>
      </c>
      <c r="AZ149" s="26" t="s">
        <v>313</v>
      </c>
      <c r="BA149" s="10" t="s">
        <v>61</v>
      </c>
      <c r="BC149" s="24">
        <f>AW149+AX149</f>
        <v>0</v>
      </c>
      <c r="BD149" s="24">
        <f>G149/(100-BE149)*100</f>
        <v>0</v>
      </c>
      <c r="BE149" s="24">
        <v>0</v>
      </c>
      <c r="BF149" s="24">
        <f>149</f>
        <v>149</v>
      </c>
      <c r="BH149" s="24">
        <f>F149*AO149</f>
        <v>0</v>
      </c>
      <c r="BI149" s="24">
        <f>F149*AP149</f>
        <v>0</v>
      </c>
      <c r="BJ149" s="24">
        <f>F149*G149</f>
        <v>0</v>
      </c>
      <c r="BK149" s="24"/>
      <c r="BL149" s="24">
        <v>90</v>
      </c>
      <c r="BW149" s="24">
        <v>21</v>
      </c>
      <c r="BX149" s="4" t="s">
        <v>311</v>
      </c>
    </row>
    <row r="150" spans="1:76" x14ac:dyDescent="0.25">
      <c r="A150" s="27"/>
      <c r="C150" s="28" t="s">
        <v>54</v>
      </c>
      <c r="D150" s="28" t="s">
        <v>314</v>
      </c>
      <c r="F150" s="29">
        <v>1</v>
      </c>
      <c r="K150" s="30"/>
    </row>
    <row r="151" spans="1:76" x14ac:dyDescent="0.25">
      <c r="A151" s="27"/>
      <c r="C151" s="28" t="s">
        <v>51</v>
      </c>
      <c r="D151" s="28" t="s">
        <v>315</v>
      </c>
      <c r="F151" s="29">
        <v>0</v>
      </c>
      <c r="K151" s="30"/>
    </row>
    <row r="152" spans="1:76" x14ac:dyDescent="0.25">
      <c r="A152" s="27"/>
      <c r="B152" s="31" t="s">
        <v>62</v>
      </c>
      <c r="C152" s="91" t="s">
        <v>316</v>
      </c>
      <c r="D152" s="92"/>
      <c r="E152" s="92"/>
      <c r="F152" s="92"/>
      <c r="G152" s="92"/>
      <c r="H152" s="92"/>
      <c r="I152" s="92"/>
      <c r="J152" s="92"/>
      <c r="K152" s="93"/>
      <c r="BX152" s="32" t="s">
        <v>316</v>
      </c>
    </row>
    <row r="153" spans="1:76" x14ac:dyDescent="0.25">
      <c r="A153" s="2" t="s">
        <v>317</v>
      </c>
      <c r="B153" s="3" t="s">
        <v>318</v>
      </c>
      <c r="C153" s="75" t="s">
        <v>319</v>
      </c>
      <c r="D153" s="70"/>
      <c r="E153" s="3" t="s">
        <v>288</v>
      </c>
      <c r="F153" s="24">
        <v>1</v>
      </c>
      <c r="G153" s="24">
        <v>0</v>
      </c>
      <c r="H153" s="24">
        <f>ROUND(F153*AO153,2)</f>
        <v>0</v>
      </c>
      <c r="I153" s="24">
        <f>ROUND(F153*AP153,2)</f>
        <v>0</v>
      </c>
      <c r="J153" s="24">
        <f>ROUND(F153*G153,2)</f>
        <v>0</v>
      </c>
      <c r="K153" s="25" t="s">
        <v>289</v>
      </c>
      <c r="Z153" s="24">
        <f>ROUND(IF(AQ153="5",BJ153,0),2)</f>
        <v>0</v>
      </c>
      <c r="AB153" s="24">
        <f>ROUND(IF(AQ153="1",BH153,0),2)</f>
        <v>0</v>
      </c>
      <c r="AC153" s="24">
        <f>ROUND(IF(AQ153="1",BI153,0),2)</f>
        <v>0</v>
      </c>
      <c r="AD153" s="24">
        <f>ROUND(IF(AQ153="7",BH153,0),2)</f>
        <v>0</v>
      </c>
      <c r="AE153" s="24">
        <f>ROUND(IF(AQ153="7",BI153,0),2)</f>
        <v>0</v>
      </c>
      <c r="AF153" s="24">
        <f>ROUND(IF(AQ153="2",BH153,0),2)</f>
        <v>0</v>
      </c>
      <c r="AG153" s="24">
        <f>ROUND(IF(AQ153="2",BI153,0),2)</f>
        <v>0</v>
      </c>
      <c r="AH153" s="24">
        <f>ROUND(IF(AQ153="0",BJ153,0),2)</f>
        <v>0</v>
      </c>
      <c r="AI153" s="10" t="s">
        <v>51</v>
      </c>
      <c r="AJ153" s="24">
        <f>IF(AN153=0,J153,0)</f>
        <v>0</v>
      </c>
      <c r="AK153" s="24">
        <f>IF(AN153=12,J153,0)</f>
        <v>0</v>
      </c>
      <c r="AL153" s="24">
        <f>IF(AN153=21,J153,0)</f>
        <v>0</v>
      </c>
      <c r="AN153" s="24">
        <v>21</v>
      </c>
      <c r="AO153" s="24">
        <f>G153*0.631750321</f>
        <v>0</v>
      </c>
      <c r="AP153" s="24">
        <f>G153*(1-0.631750321)</f>
        <v>0</v>
      </c>
      <c r="AQ153" s="26" t="s">
        <v>54</v>
      </c>
      <c r="AV153" s="24">
        <f>ROUND(AW153+AX153,2)</f>
        <v>0</v>
      </c>
      <c r="AW153" s="24">
        <f>ROUND(F153*AO153,2)</f>
        <v>0</v>
      </c>
      <c r="AX153" s="24">
        <f>ROUND(F153*AP153,2)</f>
        <v>0</v>
      </c>
      <c r="AY153" s="26" t="s">
        <v>312</v>
      </c>
      <c r="AZ153" s="26" t="s">
        <v>313</v>
      </c>
      <c r="BA153" s="10" t="s">
        <v>61</v>
      </c>
      <c r="BC153" s="24">
        <f>AW153+AX153</f>
        <v>0</v>
      </c>
      <c r="BD153" s="24">
        <f>G153/(100-BE153)*100</f>
        <v>0</v>
      </c>
      <c r="BE153" s="24">
        <v>0</v>
      </c>
      <c r="BF153" s="24">
        <f>153</f>
        <v>153</v>
      </c>
      <c r="BH153" s="24">
        <f>F153*AO153</f>
        <v>0</v>
      </c>
      <c r="BI153" s="24">
        <f>F153*AP153</f>
        <v>0</v>
      </c>
      <c r="BJ153" s="24">
        <f>F153*G153</f>
        <v>0</v>
      </c>
      <c r="BK153" s="24"/>
      <c r="BL153" s="24">
        <v>90</v>
      </c>
      <c r="BW153" s="24">
        <v>21</v>
      </c>
      <c r="BX153" s="4" t="s">
        <v>319</v>
      </c>
    </row>
    <row r="154" spans="1:76" x14ac:dyDescent="0.25">
      <c r="A154" s="27"/>
      <c r="C154" s="28" t="s">
        <v>54</v>
      </c>
      <c r="D154" s="28" t="s">
        <v>320</v>
      </c>
      <c r="F154" s="29">
        <v>1</v>
      </c>
      <c r="K154" s="30"/>
    </row>
    <row r="155" spans="1:76" x14ac:dyDescent="0.25">
      <c r="A155" s="2" t="s">
        <v>321</v>
      </c>
      <c r="B155" s="3" t="s">
        <v>322</v>
      </c>
      <c r="C155" s="75" t="s">
        <v>323</v>
      </c>
      <c r="D155" s="70"/>
      <c r="E155" s="3" t="s">
        <v>195</v>
      </c>
      <c r="F155" s="24">
        <v>0.52900000000000003</v>
      </c>
      <c r="G155" s="24">
        <v>0</v>
      </c>
      <c r="H155" s="24">
        <f>ROUND(F155*AO155,2)</f>
        <v>0</v>
      </c>
      <c r="I155" s="24">
        <f>ROUND(F155*AP155,2)</f>
        <v>0</v>
      </c>
      <c r="J155" s="24">
        <f>ROUND(F155*G155,2)</f>
        <v>0</v>
      </c>
      <c r="K155" s="25" t="s">
        <v>74</v>
      </c>
      <c r="Z155" s="24">
        <f>ROUND(IF(AQ155="5",BJ155,0),2)</f>
        <v>0</v>
      </c>
      <c r="AB155" s="24">
        <f>ROUND(IF(AQ155="1",BH155,0),2)</f>
        <v>0</v>
      </c>
      <c r="AC155" s="24">
        <f>ROUND(IF(AQ155="1",BI155,0),2)</f>
        <v>0</v>
      </c>
      <c r="AD155" s="24">
        <f>ROUND(IF(AQ155="7",BH155,0),2)</f>
        <v>0</v>
      </c>
      <c r="AE155" s="24">
        <f>ROUND(IF(AQ155="7",BI155,0),2)</f>
        <v>0</v>
      </c>
      <c r="AF155" s="24">
        <f>ROUND(IF(AQ155="2",BH155,0),2)</f>
        <v>0</v>
      </c>
      <c r="AG155" s="24">
        <f>ROUND(IF(AQ155="2",BI155,0),2)</f>
        <v>0</v>
      </c>
      <c r="AH155" s="24">
        <f>ROUND(IF(AQ155="0",BJ155,0),2)</f>
        <v>0</v>
      </c>
      <c r="AI155" s="10" t="s">
        <v>51</v>
      </c>
      <c r="AJ155" s="24">
        <f>IF(AN155=0,J155,0)</f>
        <v>0</v>
      </c>
      <c r="AK155" s="24">
        <f>IF(AN155=12,J155,0)</f>
        <v>0</v>
      </c>
      <c r="AL155" s="24">
        <f>IF(AN155=21,J155,0)</f>
        <v>0</v>
      </c>
      <c r="AN155" s="24">
        <v>21</v>
      </c>
      <c r="AO155" s="24">
        <f>G155*0</f>
        <v>0</v>
      </c>
      <c r="AP155" s="24">
        <f>G155*(1-0)</f>
        <v>0</v>
      </c>
      <c r="AQ155" s="26" t="s">
        <v>89</v>
      </c>
      <c r="AV155" s="24">
        <f>ROUND(AW155+AX155,2)</f>
        <v>0</v>
      </c>
      <c r="AW155" s="24">
        <f>ROUND(F155*AO155,2)</f>
        <v>0</v>
      </c>
      <c r="AX155" s="24">
        <f>ROUND(F155*AP155,2)</f>
        <v>0</v>
      </c>
      <c r="AY155" s="26" t="s">
        <v>312</v>
      </c>
      <c r="AZ155" s="26" t="s">
        <v>313</v>
      </c>
      <c r="BA155" s="10" t="s">
        <v>61</v>
      </c>
      <c r="BC155" s="24">
        <f>AW155+AX155</f>
        <v>0</v>
      </c>
      <c r="BD155" s="24">
        <f>G155/(100-BE155)*100</f>
        <v>0</v>
      </c>
      <c r="BE155" s="24">
        <v>0</v>
      </c>
      <c r="BF155" s="24">
        <f>155</f>
        <v>155</v>
      </c>
      <c r="BH155" s="24">
        <f>F155*AO155</f>
        <v>0</v>
      </c>
      <c r="BI155" s="24">
        <f>F155*AP155</f>
        <v>0</v>
      </c>
      <c r="BJ155" s="24">
        <f>F155*G155</f>
        <v>0</v>
      </c>
      <c r="BK155" s="24"/>
      <c r="BL155" s="24">
        <v>90</v>
      </c>
      <c r="BW155" s="24">
        <v>21</v>
      </c>
      <c r="BX155" s="4" t="s">
        <v>323</v>
      </c>
    </row>
    <row r="156" spans="1:76" x14ac:dyDescent="0.25">
      <c r="A156" s="27"/>
      <c r="C156" s="28" t="s">
        <v>324</v>
      </c>
      <c r="D156" s="28" t="s">
        <v>51</v>
      </c>
      <c r="F156" s="29">
        <v>0.52900000000000003</v>
      </c>
      <c r="K156" s="30"/>
    </row>
    <row r="157" spans="1:76" x14ac:dyDescent="0.25">
      <c r="A157" s="2" t="s">
        <v>325</v>
      </c>
      <c r="B157" s="3" t="s">
        <v>326</v>
      </c>
      <c r="C157" s="75" t="s">
        <v>327</v>
      </c>
      <c r="D157" s="70"/>
      <c r="E157" s="3" t="s">
        <v>328</v>
      </c>
      <c r="F157" s="24">
        <v>10</v>
      </c>
      <c r="G157" s="24">
        <v>0</v>
      </c>
      <c r="H157" s="24">
        <f>ROUND(F157*AO157,2)</f>
        <v>0</v>
      </c>
      <c r="I157" s="24">
        <f>ROUND(F157*AP157,2)</f>
        <v>0</v>
      </c>
      <c r="J157" s="24">
        <f>ROUND(F157*G157,2)</f>
        <v>0</v>
      </c>
      <c r="K157" s="25" t="s">
        <v>58</v>
      </c>
      <c r="Z157" s="24">
        <f>ROUND(IF(AQ157="5",BJ157,0),2)</f>
        <v>0</v>
      </c>
      <c r="AB157" s="24">
        <f>ROUND(IF(AQ157="1",BH157,0),2)</f>
        <v>0</v>
      </c>
      <c r="AC157" s="24">
        <f>ROUND(IF(AQ157="1",BI157,0),2)</f>
        <v>0</v>
      </c>
      <c r="AD157" s="24">
        <f>ROUND(IF(AQ157="7",BH157,0),2)</f>
        <v>0</v>
      </c>
      <c r="AE157" s="24">
        <f>ROUND(IF(AQ157="7",BI157,0),2)</f>
        <v>0</v>
      </c>
      <c r="AF157" s="24">
        <f>ROUND(IF(AQ157="2",BH157,0),2)</f>
        <v>0</v>
      </c>
      <c r="AG157" s="24">
        <f>ROUND(IF(AQ157="2",BI157,0),2)</f>
        <v>0</v>
      </c>
      <c r="AH157" s="24">
        <f>ROUND(IF(AQ157="0",BJ157,0),2)</f>
        <v>0</v>
      </c>
      <c r="AI157" s="10" t="s">
        <v>51</v>
      </c>
      <c r="AJ157" s="24">
        <f>IF(AN157=0,J157,0)</f>
        <v>0</v>
      </c>
      <c r="AK157" s="24">
        <f>IF(AN157=12,J157,0)</f>
        <v>0</v>
      </c>
      <c r="AL157" s="24">
        <f>IF(AN157=21,J157,0)</f>
        <v>0</v>
      </c>
      <c r="AN157" s="24">
        <v>21</v>
      </c>
      <c r="AO157" s="24">
        <f>G157*0</f>
        <v>0</v>
      </c>
      <c r="AP157" s="24">
        <f>G157*(1-0)</f>
        <v>0</v>
      </c>
      <c r="AQ157" s="26" t="s">
        <v>54</v>
      </c>
      <c r="AV157" s="24">
        <f>ROUND(AW157+AX157,2)</f>
        <v>0</v>
      </c>
      <c r="AW157" s="24">
        <f>ROUND(F157*AO157,2)</f>
        <v>0</v>
      </c>
      <c r="AX157" s="24">
        <f>ROUND(F157*AP157,2)</f>
        <v>0</v>
      </c>
      <c r="AY157" s="26" t="s">
        <v>312</v>
      </c>
      <c r="AZ157" s="26" t="s">
        <v>313</v>
      </c>
      <c r="BA157" s="10" t="s">
        <v>61</v>
      </c>
      <c r="BC157" s="24">
        <f>AW157+AX157</f>
        <v>0</v>
      </c>
      <c r="BD157" s="24">
        <f>G157/(100-BE157)*100</f>
        <v>0</v>
      </c>
      <c r="BE157" s="24">
        <v>0</v>
      </c>
      <c r="BF157" s="24">
        <f>157</f>
        <v>157</v>
      </c>
      <c r="BH157" s="24">
        <f>F157*AO157</f>
        <v>0</v>
      </c>
      <c r="BI157" s="24">
        <f>F157*AP157</f>
        <v>0</v>
      </c>
      <c r="BJ157" s="24">
        <f>F157*G157</f>
        <v>0</v>
      </c>
      <c r="BK157" s="24"/>
      <c r="BL157" s="24">
        <v>90</v>
      </c>
      <c r="BW157" s="24">
        <v>21</v>
      </c>
      <c r="BX157" s="4" t="s">
        <v>327</v>
      </c>
    </row>
    <row r="158" spans="1:76" x14ac:dyDescent="0.25">
      <c r="A158" s="27"/>
      <c r="C158" s="28" t="s">
        <v>124</v>
      </c>
      <c r="D158" s="28" t="s">
        <v>51</v>
      </c>
      <c r="F158" s="29">
        <v>10</v>
      </c>
      <c r="K158" s="30"/>
    </row>
    <row r="159" spans="1:76" ht="293.25" x14ac:dyDescent="0.25">
      <c r="A159" s="27"/>
      <c r="B159" s="31" t="s">
        <v>62</v>
      </c>
      <c r="C159" s="91" t="s">
        <v>329</v>
      </c>
      <c r="D159" s="92"/>
      <c r="E159" s="92"/>
      <c r="F159" s="92"/>
      <c r="G159" s="92"/>
      <c r="H159" s="92"/>
      <c r="I159" s="92"/>
      <c r="J159" s="92"/>
      <c r="K159" s="93"/>
      <c r="BX159" s="32" t="s">
        <v>329</v>
      </c>
    </row>
    <row r="160" spans="1:76" x14ac:dyDescent="0.25">
      <c r="A160" s="33" t="s">
        <v>51</v>
      </c>
      <c r="B160" s="34" t="s">
        <v>330</v>
      </c>
      <c r="C160" s="94" t="s">
        <v>331</v>
      </c>
      <c r="D160" s="95"/>
      <c r="E160" s="35" t="s">
        <v>4</v>
      </c>
      <c r="F160" s="35" t="s">
        <v>4</v>
      </c>
      <c r="G160" s="35" t="s">
        <v>4</v>
      </c>
      <c r="H160" s="1">
        <f>SUM(H161:H170)</f>
        <v>0</v>
      </c>
      <c r="I160" s="1">
        <f>SUM(I161:I170)</f>
        <v>0</v>
      </c>
      <c r="J160" s="1">
        <f>SUM(J161:J170)</f>
        <v>0</v>
      </c>
      <c r="K160" s="36" t="s">
        <v>51</v>
      </c>
      <c r="AI160" s="10" t="s">
        <v>51</v>
      </c>
      <c r="AS160" s="1">
        <f>SUM(AJ161:AJ170)</f>
        <v>0</v>
      </c>
      <c r="AT160" s="1">
        <f>SUM(AK161:AK170)</f>
        <v>0</v>
      </c>
      <c r="AU160" s="1">
        <f>SUM(AL161:AL170)</f>
        <v>0</v>
      </c>
    </row>
    <row r="161" spans="1:76" x14ac:dyDescent="0.25">
      <c r="A161" s="2" t="s">
        <v>332</v>
      </c>
      <c r="B161" s="3" t="s">
        <v>333</v>
      </c>
      <c r="C161" s="75" t="s">
        <v>334</v>
      </c>
      <c r="D161" s="70"/>
      <c r="E161" s="3" t="s">
        <v>335</v>
      </c>
      <c r="F161" s="24">
        <v>1</v>
      </c>
      <c r="G161" s="24">
        <v>0</v>
      </c>
      <c r="H161" s="24">
        <f>ROUND(F161*AO161,2)</f>
        <v>0</v>
      </c>
      <c r="I161" s="24">
        <f>ROUND(F161*AP161,2)</f>
        <v>0</v>
      </c>
      <c r="J161" s="24">
        <f>ROUND(F161*G161,2)</f>
        <v>0</v>
      </c>
      <c r="K161" s="25" t="s">
        <v>289</v>
      </c>
      <c r="Z161" s="24">
        <f>ROUND(IF(AQ161="5",BJ161,0),2)</f>
        <v>0</v>
      </c>
      <c r="AB161" s="24">
        <f>ROUND(IF(AQ161="1",BH161,0),2)</f>
        <v>0</v>
      </c>
      <c r="AC161" s="24">
        <f>ROUND(IF(AQ161="1",BI161,0),2)</f>
        <v>0</v>
      </c>
      <c r="AD161" s="24">
        <f>ROUND(IF(AQ161="7",BH161,0),2)</f>
        <v>0</v>
      </c>
      <c r="AE161" s="24">
        <f>ROUND(IF(AQ161="7",BI161,0),2)</f>
        <v>0</v>
      </c>
      <c r="AF161" s="24">
        <f>ROUND(IF(AQ161="2",BH161,0),2)</f>
        <v>0</v>
      </c>
      <c r="AG161" s="24">
        <f>ROUND(IF(AQ161="2",BI161,0),2)</f>
        <v>0</v>
      </c>
      <c r="AH161" s="24">
        <f>ROUND(IF(AQ161="0",BJ161,0),2)</f>
        <v>0</v>
      </c>
      <c r="AI161" s="10" t="s">
        <v>51</v>
      </c>
      <c r="AJ161" s="24">
        <f>IF(AN161=0,J161,0)</f>
        <v>0</v>
      </c>
      <c r="AK161" s="24">
        <f>IF(AN161=12,J161,0)</f>
        <v>0</v>
      </c>
      <c r="AL161" s="24">
        <f>IF(AN161=21,J161,0)</f>
        <v>0</v>
      </c>
      <c r="AN161" s="24">
        <v>21</v>
      </c>
      <c r="AO161" s="24">
        <f>G161*0.050047333</f>
        <v>0</v>
      </c>
      <c r="AP161" s="24">
        <f>G161*(1-0.050047333)</f>
        <v>0</v>
      </c>
      <c r="AQ161" s="26" t="s">
        <v>54</v>
      </c>
      <c r="AV161" s="24">
        <f>ROUND(AW161+AX161,2)</f>
        <v>0</v>
      </c>
      <c r="AW161" s="24">
        <f>ROUND(F161*AO161,2)</f>
        <v>0</v>
      </c>
      <c r="AX161" s="24">
        <f>ROUND(F161*AP161,2)</f>
        <v>0</v>
      </c>
      <c r="AY161" s="26" t="s">
        <v>336</v>
      </c>
      <c r="AZ161" s="26" t="s">
        <v>313</v>
      </c>
      <c r="BA161" s="10" t="s">
        <v>61</v>
      </c>
      <c r="BC161" s="24">
        <f>AW161+AX161</f>
        <v>0</v>
      </c>
      <c r="BD161" s="24">
        <f>G161/(100-BE161)*100</f>
        <v>0</v>
      </c>
      <c r="BE161" s="24">
        <v>0</v>
      </c>
      <c r="BF161" s="24">
        <f>161</f>
        <v>161</v>
      </c>
      <c r="BH161" s="24">
        <f>F161*AO161</f>
        <v>0</v>
      </c>
      <c r="BI161" s="24">
        <f>F161*AP161</f>
        <v>0</v>
      </c>
      <c r="BJ161" s="24">
        <f>F161*G161</f>
        <v>0</v>
      </c>
      <c r="BK161" s="24"/>
      <c r="BL161" s="24">
        <v>95</v>
      </c>
      <c r="BW161" s="24">
        <v>21</v>
      </c>
      <c r="BX161" s="4" t="s">
        <v>334</v>
      </c>
    </row>
    <row r="162" spans="1:76" x14ac:dyDescent="0.25">
      <c r="A162" s="27"/>
      <c r="C162" s="28" t="s">
        <v>54</v>
      </c>
      <c r="D162" s="28" t="s">
        <v>51</v>
      </c>
      <c r="F162" s="29">
        <v>1</v>
      </c>
      <c r="K162" s="30"/>
    </row>
    <row r="163" spans="1:76" x14ac:dyDescent="0.25">
      <c r="A163" s="27"/>
      <c r="B163" s="31" t="s">
        <v>62</v>
      </c>
      <c r="C163" s="91" t="s">
        <v>337</v>
      </c>
      <c r="D163" s="92"/>
      <c r="E163" s="92"/>
      <c r="F163" s="92"/>
      <c r="G163" s="92"/>
      <c r="H163" s="92"/>
      <c r="I163" s="92"/>
      <c r="J163" s="92"/>
      <c r="K163" s="93"/>
      <c r="BX163" s="32" t="s">
        <v>337</v>
      </c>
    </row>
    <row r="164" spans="1:76" x14ac:dyDescent="0.25">
      <c r="A164" s="2" t="s">
        <v>338</v>
      </c>
      <c r="B164" s="3" t="s">
        <v>339</v>
      </c>
      <c r="C164" s="75" t="s">
        <v>340</v>
      </c>
      <c r="D164" s="70"/>
      <c r="E164" s="3" t="s">
        <v>57</v>
      </c>
      <c r="F164" s="24">
        <v>1</v>
      </c>
      <c r="G164" s="24">
        <v>0</v>
      </c>
      <c r="H164" s="24">
        <f>ROUND(F164*AO164,2)</f>
        <v>0</v>
      </c>
      <c r="I164" s="24">
        <f>ROUND(F164*AP164,2)</f>
        <v>0</v>
      </c>
      <c r="J164" s="24">
        <f>ROUND(F164*G164,2)</f>
        <v>0</v>
      </c>
      <c r="K164" s="25" t="s">
        <v>289</v>
      </c>
      <c r="Z164" s="24">
        <f>ROUND(IF(AQ164="5",BJ164,0),2)</f>
        <v>0</v>
      </c>
      <c r="AB164" s="24">
        <f>ROUND(IF(AQ164="1",BH164,0),2)</f>
        <v>0</v>
      </c>
      <c r="AC164" s="24">
        <f>ROUND(IF(AQ164="1",BI164,0),2)</f>
        <v>0</v>
      </c>
      <c r="AD164" s="24">
        <f>ROUND(IF(AQ164="7",BH164,0),2)</f>
        <v>0</v>
      </c>
      <c r="AE164" s="24">
        <f>ROUND(IF(AQ164="7",BI164,0),2)</f>
        <v>0</v>
      </c>
      <c r="AF164" s="24">
        <f>ROUND(IF(AQ164="2",BH164,0),2)</f>
        <v>0</v>
      </c>
      <c r="AG164" s="24">
        <f>ROUND(IF(AQ164="2",BI164,0),2)</f>
        <v>0</v>
      </c>
      <c r="AH164" s="24">
        <f>ROUND(IF(AQ164="0",BJ164,0),2)</f>
        <v>0</v>
      </c>
      <c r="AI164" s="10" t="s">
        <v>51</v>
      </c>
      <c r="AJ164" s="24">
        <f>IF(AN164=0,J164,0)</f>
        <v>0</v>
      </c>
      <c r="AK164" s="24">
        <f>IF(AN164=12,J164,0)</f>
        <v>0</v>
      </c>
      <c r="AL164" s="24">
        <f>IF(AN164=21,J164,0)</f>
        <v>0</v>
      </c>
      <c r="AN164" s="24">
        <v>21</v>
      </c>
      <c r="AO164" s="24">
        <f>G164*0.050048571</f>
        <v>0</v>
      </c>
      <c r="AP164" s="24">
        <f>G164*(1-0.050048571)</f>
        <v>0</v>
      </c>
      <c r="AQ164" s="26" t="s">
        <v>54</v>
      </c>
      <c r="AV164" s="24">
        <f>ROUND(AW164+AX164,2)</f>
        <v>0</v>
      </c>
      <c r="AW164" s="24">
        <f>ROUND(F164*AO164,2)</f>
        <v>0</v>
      </c>
      <c r="AX164" s="24">
        <f>ROUND(F164*AP164,2)</f>
        <v>0</v>
      </c>
      <c r="AY164" s="26" t="s">
        <v>336</v>
      </c>
      <c r="AZ164" s="26" t="s">
        <v>313</v>
      </c>
      <c r="BA164" s="10" t="s">
        <v>61</v>
      </c>
      <c r="BC164" s="24">
        <f>AW164+AX164</f>
        <v>0</v>
      </c>
      <c r="BD164" s="24">
        <f>G164/(100-BE164)*100</f>
        <v>0</v>
      </c>
      <c r="BE164" s="24">
        <v>0</v>
      </c>
      <c r="BF164" s="24">
        <f>164</f>
        <v>164</v>
      </c>
      <c r="BH164" s="24">
        <f>F164*AO164</f>
        <v>0</v>
      </c>
      <c r="BI164" s="24">
        <f>F164*AP164</f>
        <v>0</v>
      </c>
      <c r="BJ164" s="24">
        <f>F164*G164</f>
        <v>0</v>
      </c>
      <c r="BK164" s="24"/>
      <c r="BL164" s="24">
        <v>95</v>
      </c>
      <c r="BW164" s="24">
        <v>21</v>
      </c>
      <c r="BX164" s="4" t="s">
        <v>340</v>
      </c>
    </row>
    <row r="165" spans="1:76" x14ac:dyDescent="0.25">
      <c r="A165" s="27"/>
      <c r="C165" s="28" t="s">
        <v>54</v>
      </c>
      <c r="D165" s="28" t="s">
        <v>51</v>
      </c>
      <c r="F165" s="29">
        <v>1</v>
      </c>
      <c r="K165" s="30"/>
    </row>
    <row r="166" spans="1:76" ht="51" x14ac:dyDescent="0.25">
      <c r="A166" s="27"/>
      <c r="B166" s="31" t="s">
        <v>62</v>
      </c>
      <c r="C166" s="91" t="s">
        <v>341</v>
      </c>
      <c r="D166" s="92"/>
      <c r="E166" s="92"/>
      <c r="F166" s="92"/>
      <c r="G166" s="92"/>
      <c r="H166" s="92"/>
      <c r="I166" s="92"/>
      <c r="J166" s="92"/>
      <c r="K166" s="93"/>
      <c r="BX166" s="32" t="s">
        <v>341</v>
      </c>
    </row>
    <row r="167" spans="1:76" x14ac:dyDescent="0.25">
      <c r="A167" s="2" t="s">
        <v>342</v>
      </c>
      <c r="B167" s="3" t="s">
        <v>343</v>
      </c>
      <c r="C167" s="75" t="s">
        <v>344</v>
      </c>
      <c r="D167" s="70"/>
      <c r="E167" s="3" t="s">
        <v>328</v>
      </c>
      <c r="F167" s="24">
        <v>20</v>
      </c>
      <c r="G167" s="24">
        <v>0</v>
      </c>
      <c r="H167" s="24">
        <f>ROUND(F167*AO167,2)</f>
        <v>0</v>
      </c>
      <c r="I167" s="24">
        <f>ROUND(F167*AP167,2)</f>
        <v>0</v>
      </c>
      <c r="J167" s="24">
        <f>ROUND(F167*G167,2)</f>
        <v>0</v>
      </c>
      <c r="K167" s="25" t="s">
        <v>74</v>
      </c>
      <c r="Z167" s="24">
        <f>ROUND(IF(AQ167="5",BJ167,0),2)</f>
        <v>0</v>
      </c>
      <c r="AB167" s="24">
        <f>ROUND(IF(AQ167="1",BH167,0),2)</f>
        <v>0</v>
      </c>
      <c r="AC167" s="24">
        <f>ROUND(IF(AQ167="1",BI167,0),2)</f>
        <v>0</v>
      </c>
      <c r="AD167" s="24">
        <f>ROUND(IF(AQ167="7",BH167,0),2)</f>
        <v>0</v>
      </c>
      <c r="AE167" s="24">
        <f>ROUND(IF(AQ167="7",BI167,0),2)</f>
        <v>0</v>
      </c>
      <c r="AF167" s="24">
        <f>ROUND(IF(AQ167="2",BH167,0),2)</f>
        <v>0</v>
      </c>
      <c r="AG167" s="24">
        <f>ROUND(IF(AQ167="2",BI167,0),2)</f>
        <v>0</v>
      </c>
      <c r="AH167" s="24">
        <f>ROUND(IF(AQ167="0",BJ167,0),2)</f>
        <v>0</v>
      </c>
      <c r="AI167" s="10" t="s">
        <v>51</v>
      </c>
      <c r="AJ167" s="24">
        <f>IF(AN167=0,J167,0)</f>
        <v>0</v>
      </c>
      <c r="AK167" s="24">
        <f>IF(AN167=12,J167,0)</f>
        <v>0</v>
      </c>
      <c r="AL167" s="24">
        <f>IF(AN167=21,J167,0)</f>
        <v>0</v>
      </c>
      <c r="AN167" s="24">
        <v>21</v>
      </c>
      <c r="AO167" s="24">
        <f>G167*0</f>
        <v>0</v>
      </c>
      <c r="AP167" s="24">
        <f>G167*(1-0)</f>
        <v>0</v>
      </c>
      <c r="AQ167" s="26" t="s">
        <v>54</v>
      </c>
      <c r="AV167" s="24">
        <f>ROUND(AW167+AX167,2)</f>
        <v>0</v>
      </c>
      <c r="AW167" s="24">
        <f>ROUND(F167*AO167,2)</f>
        <v>0</v>
      </c>
      <c r="AX167" s="24">
        <f>ROUND(F167*AP167,2)</f>
        <v>0</v>
      </c>
      <c r="AY167" s="26" t="s">
        <v>336</v>
      </c>
      <c r="AZ167" s="26" t="s">
        <v>313</v>
      </c>
      <c r="BA167" s="10" t="s">
        <v>61</v>
      </c>
      <c r="BC167" s="24">
        <f>AW167+AX167</f>
        <v>0</v>
      </c>
      <c r="BD167" s="24">
        <f>G167/(100-BE167)*100</f>
        <v>0</v>
      </c>
      <c r="BE167" s="24">
        <v>0</v>
      </c>
      <c r="BF167" s="24">
        <f>167</f>
        <v>167</v>
      </c>
      <c r="BH167" s="24">
        <f>F167*AO167</f>
        <v>0</v>
      </c>
      <c r="BI167" s="24">
        <f>F167*AP167</f>
        <v>0</v>
      </c>
      <c r="BJ167" s="24">
        <f>F167*G167</f>
        <v>0</v>
      </c>
      <c r="BK167" s="24"/>
      <c r="BL167" s="24">
        <v>95</v>
      </c>
      <c r="BW167" s="24">
        <v>21</v>
      </c>
      <c r="BX167" s="4" t="s">
        <v>344</v>
      </c>
    </row>
    <row r="168" spans="1:76" x14ac:dyDescent="0.25">
      <c r="A168" s="27"/>
      <c r="C168" s="28" t="s">
        <v>192</v>
      </c>
      <c r="D168" s="28" t="s">
        <v>51</v>
      </c>
      <c r="F168" s="29">
        <v>20</v>
      </c>
      <c r="K168" s="30"/>
    </row>
    <row r="169" spans="1:76" ht="293.25" x14ac:dyDescent="0.25">
      <c r="A169" s="27"/>
      <c r="B169" s="31" t="s">
        <v>62</v>
      </c>
      <c r="C169" s="91" t="s">
        <v>329</v>
      </c>
      <c r="D169" s="92"/>
      <c r="E169" s="92"/>
      <c r="F169" s="92"/>
      <c r="G169" s="92"/>
      <c r="H169" s="92"/>
      <c r="I169" s="92"/>
      <c r="J169" s="92"/>
      <c r="K169" s="93"/>
      <c r="BX169" s="32" t="s">
        <v>329</v>
      </c>
    </row>
    <row r="170" spans="1:76" x14ac:dyDescent="0.25">
      <c r="A170" s="2" t="s">
        <v>345</v>
      </c>
      <c r="B170" s="3" t="s">
        <v>346</v>
      </c>
      <c r="C170" s="75" t="s">
        <v>347</v>
      </c>
      <c r="D170" s="70"/>
      <c r="E170" s="3" t="s">
        <v>288</v>
      </c>
      <c r="F170" s="24">
        <v>1</v>
      </c>
      <c r="G170" s="24">
        <v>0</v>
      </c>
      <c r="H170" s="24">
        <f>ROUND(F170*AO170,2)</f>
        <v>0</v>
      </c>
      <c r="I170" s="24">
        <f>ROUND(F170*AP170,2)</f>
        <v>0</v>
      </c>
      <c r="J170" s="24">
        <f>ROUND(F170*G170,2)</f>
        <v>0</v>
      </c>
      <c r="K170" s="25" t="s">
        <v>74</v>
      </c>
      <c r="Z170" s="24">
        <f>ROUND(IF(AQ170="5",BJ170,0),2)</f>
        <v>0</v>
      </c>
      <c r="AB170" s="24">
        <f>ROUND(IF(AQ170="1",BH170,0),2)</f>
        <v>0</v>
      </c>
      <c r="AC170" s="24">
        <f>ROUND(IF(AQ170="1",BI170,0),2)</f>
        <v>0</v>
      </c>
      <c r="AD170" s="24">
        <f>ROUND(IF(AQ170="7",BH170,0),2)</f>
        <v>0</v>
      </c>
      <c r="AE170" s="24">
        <f>ROUND(IF(AQ170="7",BI170,0),2)</f>
        <v>0</v>
      </c>
      <c r="AF170" s="24">
        <f>ROUND(IF(AQ170="2",BH170,0),2)</f>
        <v>0</v>
      </c>
      <c r="AG170" s="24">
        <f>ROUND(IF(AQ170="2",BI170,0),2)</f>
        <v>0</v>
      </c>
      <c r="AH170" s="24">
        <f>ROUND(IF(AQ170="0",BJ170,0),2)</f>
        <v>0</v>
      </c>
      <c r="AI170" s="10" t="s">
        <v>51</v>
      </c>
      <c r="AJ170" s="24">
        <f>IF(AN170=0,J170,0)</f>
        <v>0</v>
      </c>
      <c r="AK170" s="24">
        <f>IF(AN170=12,J170,0)</f>
        <v>0</v>
      </c>
      <c r="AL170" s="24">
        <f>IF(AN170=21,J170,0)</f>
        <v>0</v>
      </c>
      <c r="AN170" s="24">
        <v>21</v>
      </c>
      <c r="AO170" s="24">
        <f>G170*0</f>
        <v>0</v>
      </c>
      <c r="AP170" s="24">
        <f>G170*(1-0)</f>
        <v>0</v>
      </c>
      <c r="AQ170" s="26" t="s">
        <v>54</v>
      </c>
      <c r="AV170" s="24">
        <f>ROUND(AW170+AX170,2)</f>
        <v>0</v>
      </c>
      <c r="AW170" s="24">
        <f>ROUND(F170*AO170,2)</f>
        <v>0</v>
      </c>
      <c r="AX170" s="24">
        <f>ROUND(F170*AP170,2)</f>
        <v>0</v>
      </c>
      <c r="AY170" s="26" t="s">
        <v>336</v>
      </c>
      <c r="AZ170" s="26" t="s">
        <v>313</v>
      </c>
      <c r="BA170" s="10" t="s">
        <v>61</v>
      </c>
      <c r="BC170" s="24">
        <f>AW170+AX170</f>
        <v>0</v>
      </c>
      <c r="BD170" s="24">
        <f>G170/(100-BE170)*100</f>
        <v>0</v>
      </c>
      <c r="BE170" s="24">
        <v>0</v>
      </c>
      <c r="BF170" s="24">
        <f>170</f>
        <v>170</v>
      </c>
      <c r="BH170" s="24">
        <f>F170*AO170</f>
        <v>0</v>
      </c>
      <c r="BI170" s="24">
        <f>F170*AP170</f>
        <v>0</v>
      </c>
      <c r="BJ170" s="24">
        <f>F170*G170</f>
        <v>0</v>
      </c>
      <c r="BK170" s="24"/>
      <c r="BL170" s="24">
        <v>95</v>
      </c>
      <c r="BW170" s="24">
        <v>21</v>
      </c>
      <c r="BX170" s="4" t="s">
        <v>347</v>
      </c>
    </row>
    <row r="171" spans="1:76" x14ac:dyDescent="0.25">
      <c r="A171" s="27"/>
      <c r="C171" s="28" t="s">
        <v>54</v>
      </c>
      <c r="D171" s="28" t="s">
        <v>51</v>
      </c>
      <c r="F171" s="29">
        <v>1</v>
      </c>
      <c r="K171" s="30"/>
    </row>
    <row r="172" spans="1:76" x14ac:dyDescent="0.25">
      <c r="A172" s="33" t="s">
        <v>51</v>
      </c>
      <c r="B172" s="34" t="s">
        <v>348</v>
      </c>
      <c r="C172" s="94" t="s">
        <v>349</v>
      </c>
      <c r="D172" s="95"/>
      <c r="E172" s="35" t="s">
        <v>4</v>
      </c>
      <c r="F172" s="35" t="s">
        <v>4</v>
      </c>
      <c r="G172" s="35" t="s">
        <v>4</v>
      </c>
      <c r="H172" s="1">
        <f>SUM(H173:H204)</f>
        <v>0</v>
      </c>
      <c r="I172" s="1">
        <f>SUM(I173:I204)</f>
        <v>0</v>
      </c>
      <c r="J172" s="1">
        <f>SUM(J173:J204)</f>
        <v>0</v>
      </c>
      <c r="K172" s="36" t="s">
        <v>51</v>
      </c>
      <c r="AI172" s="10" t="s">
        <v>51</v>
      </c>
      <c r="AS172" s="1">
        <f>SUM(AJ173:AJ204)</f>
        <v>0</v>
      </c>
      <c r="AT172" s="1">
        <f>SUM(AK173:AK204)</f>
        <v>0</v>
      </c>
      <c r="AU172" s="1">
        <f>SUM(AL173:AL204)</f>
        <v>0</v>
      </c>
    </row>
    <row r="173" spans="1:76" x14ac:dyDescent="0.25">
      <c r="A173" s="2" t="s">
        <v>350</v>
      </c>
      <c r="B173" s="3" t="s">
        <v>351</v>
      </c>
      <c r="C173" s="75" t="s">
        <v>352</v>
      </c>
      <c r="D173" s="70"/>
      <c r="E173" s="3" t="s">
        <v>57</v>
      </c>
      <c r="F173" s="24">
        <v>4</v>
      </c>
      <c r="G173" s="24">
        <v>0</v>
      </c>
      <c r="H173" s="24">
        <f>ROUND(F173*AO173,2)</f>
        <v>0</v>
      </c>
      <c r="I173" s="24">
        <f>ROUND(F173*AP173,2)</f>
        <v>0</v>
      </c>
      <c r="J173" s="24">
        <f>ROUND(F173*G173,2)</f>
        <v>0</v>
      </c>
      <c r="K173" s="25" t="s">
        <v>74</v>
      </c>
      <c r="Z173" s="24">
        <f>ROUND(IF(AQ173="5",BJ173,0),2)</f>
        <v>0</v>
      </c>
      <c r="AB173" s="24">
        <f>ROUND(IF(AQ173="1",BH173,0),2)</f>
        <v>0</v>
      </c>
      <c r="AC173" s="24">
        <f>ROUND(IF(AQ173="1",BI173,0),2)</f>
        <v>0</v>
      </c>
      <c r="AD173" s="24">
        <f>ROUND(IF(AQ173="7",BH173,0),2)</f>
        <v>0</v>
      </c>
      <c r="AE173" s="24">
        <f>ROUND(IF(AQ173="7",BI173,0),2)</f>
        <v>0</v>
      </c>
      <c r="AF173" s="24">
        <f>ROUND(IF(AQ173="2",BH173,0),2)</f>
        <v>0</v>
      </c>
      <c r="AG173" s="24">
        <f>ROUND(IF(AQ173="2",BI173,0),2)</f>
        <v>0</v>
      </c>
      <c r="AH173" s="24">
        <f>ROUND(IF(AQ173="0",BJ173,0),2)</f>
        <v>0</v>
      </c>
      <c r="AI173" s="10" t="s">
        <v>51</v>
      </c>
      <c r="AJ173" s="24">
        <f>IF(AN173=0,J173,0)</f>
        <v>0</v>
      </c>
      <c r="AK173" s="24">
        <f>IF(AN173=12,J173,0)</f>
        <v>0</v>
      </c>
      <c r="AL173" s="24">
        <f>IF(AN173=21,J173,0)</f>
        <v>0</v>
      </c>
      <c r="AN173" s="24">
        <v>21</v>
      </c>
      <c r="AO173" s="24">
        <f>G173*0</f>
        <v>0</v>
      </c>
      <c r="AP173" s="24">
        <f>G173*(1-0)</f>
        <v>0</v>
      </c>
      <c r="AQ173" s="26" t="s">
        <v>64</v>
      </c>
      <c r="AV173" s="24">
        <f>ROUND(AW173+AX173,2)</f>
        <v>0</v>
      </c>
      <c r="AW173" s="24">
        <f>ROUND(F173*AO173,2)</f>
        <v>0</v>
      </c>
      <c r="AX173" s="24">
        <f>ROUND(F173*AP173,2)</f>
        <v>0</v>
      </c>
      <c r="AY173" s="26" t="s">
        <v>353</v>
      </c>
      <c r="AZ173" s="26" t="s">
        <v>313</v>
      </c>
      <c r="BA173" s="10" t="s">
        <v>61</v>
      </c>
      <c r="BC173" s="24">
        <f>AW173+AX173</f>
        <v>0</v>
      </c>
      <c r="BD173" s="24">
        <f>G173/(100-BE173)*100</f>
        <v>0</v>
      </c>
      <c r="BE173" s="24">
        <v>0</v>
      </c>
      <c r="BF173" s="24">
        <f>173</f>
        <v>173</v>
      </c>
      <c r="BH173" s="24">
        <f>F173*AO173</f>
        <v>0</v>
      </c>
      <c r="BI173" s="24">
        <f>F173*AP173</f>
        <v>0</v>
      </c>
      <c r="BJ173" s="24">
        <f>F173*G173</f>
        <v>0</v>
      </c>
      <c r="BK173" s="24"/>
      <c r="BL173" s="24"/>
      <c r="BW173" s="24">
        <v>21</v>
      </c>
      <c r="BX173" s="4" t="s">
        <v>352</v>
      </c>
    </row>
    <row r="174" spans="1:76" x14ac:dyDescent="0.25">
      <c r="A174" s="27"/>
      <c r="C174" s="28" t="s">
        <v>82</v>
      </c>
      <c r="D174" s="28" t="s">
        <v>354</v>
      </c>
      <c r="F174" s="29">
        <v>4</v>
      </c>
      <c r="K174" s="30"/>
    </row>
    <row r="175" spans="1:76" x14ac:dyDescent="0.25">
      <c r="A175" s="2" t="s">
        <v>355</v>
      </c>
      <c r="B175" s="3" t="s">
        <v>356</v>
      </c>
      <c r="C175" s="75" t="s">
        <v>357</v>
      </c>
      <c r="D175" s="70"/>
      <c r="E175" s="3" t="s">
        <v>57</v>
      </c>
      <c r="F175" s="24">
        <v>8</v>
      </c>
      <c r="G175" s="24">
        <v>0</v>
      </c>
      <c r="H175" s="24">
        <f>ROUND(F175*AO175,2)</f>
        <v>0</v>
      </c>
      <c r="I175" s="24">
        <f>ROUND(F175*AP175,2)</f>
        <v>0</v>
      </c>
      <c r="J175" s="24">
        <f>ROUND(F175*G175,2)</f>
        <v>0</v>
      </c>
      <c r="K175" s="25" t="s">
        <v>74</v>
      </c>
      <c r="Z175" s="24">
        <f>ROUND(IF(AQ175="5",BJ175,0),2)</f>
        <v>0</v>
      </c>
      <c r="AB175" s="24">
        <f>ROUND(IF(AQ175="1",BH175,0),2)</f>
        <v>0</v>
      </c>
      <c r="AC175" s="24">
        <f>ROUND(IF(AQ175="1",BI175,0),2)</f>
        <v>0</v>
      </c>
      <c r="AD175" s="24">
        <f>ROUND(IF(AQ175="7",BH175,0),2)</f>
        <v>0</v>
      </c>
      <c r="AE175" s="24">
        <f>ROUND(IF(AQ175="7",BI175,0),2)</f>
        <v>0</v>
      </c>
      <c r="AF175" s="24">
        <f>ROUND(IF(AQ175="2",BH175,0),2)</f>
        <v>0</v>
      </c>
      <c r="AG175" s="24">
        <f>ROUND(IF(AQ175="2",BI175,0),2)</f>
        <v>0</v>
      </c>
      <c r="AH175" s="24">
        <f>ROUND(IF(AQ175="0",BJ175,0),2)</f>
        <v>0</v>
      </c>
      <c r="AI175" s="10" t="s">
        <v>51</v>
      </c>
      <c r="AJ175" s="24">
        <f>IF(AN175=0,J175,0)</f>
        <v>0</v>
      </c>
      <c r="AK175" s="24">
        <f>IF(AN175=12,J175,0)</f>
        <v>0</v>
      </c>
      <c r="AL175" s="24">
        <f>IF(AN175=21,J175,0)</f>
        <v>0</v>
      </c>
      <c r="AN175" s="24">
        <v>21</v>
      </c>
      <c r="AO175" s="24">
        <f>G175*0</f>
        <v>0</v>
      </c>
      <c r="AP175" s="24">
        <f>G175*(1-0)</f>
        <v>0</v>
      </c>
      <c r="AQ175" s="26" t="s">
        <v>64</v>
      </c>
      <c r="AV175" s="24">
        <f>ROUND(AW175+AX175,2)</f>
        <v>0</v>
      </c>
      <c r="AW175" s="24">
        <f>ROUND(F175*AO175,2)</f>
        <v>0</v>
      </c>
      <c r="AX175" s="24">
        <f>ROUND(F175*AP175,2)</f>
        <v>0</v>
      </c>
      <c r="AY175" s="26" t="s">
        <v>353</v>
      </c>
      <c r="AZ175" s="26" t="s">
        <v>313</v>
      </c>
      <c r="BA175" s="10" t="s">
        <v>61</v>
      </c>
      <c r="BC175" s="24">
        <f>AW175+AX175</f>
        <v>0</v>
      </c>
      <c r="BD175" s="24">
        <f>G175/(100-BE175)*100</f>
        <v>0</v>
      </c>
      <c r="BE175" s="24">
        <v>0</v>
      </c>
      <c r="BF175" s="24">
        <f>175</f>
        <v>175</v>
      </c>
      <c r="BH175" s="24">
        <f>F175*AO175</f>
        <v>0</v>
      </c>
      <c r="BI175" s="24">
        <f>F175*AP175</f>
        <v>0</v>
      </c>
      <c r="BJ175" s="24">
        <f>F175*G175</f>
        <v>0</v>
      </c>
      <c r="BK175" s="24"/>
      <c r="BL175" s="24"/>
      <c r="BW175" s="24">
        <v>21</v>
      </c>
      <c r="BX175" s="4" t="s">
        <v>357</v>
      </c>
    </row>
    <row r="176" spans="1:76" x14ac:dyDescent="0.25">
      <c r="A176" s="27"/>
      <c r="C176" s="28" t="s">
        <v>114</v>
      </c>
      <c r="D176" s="28" t="s">
        <v>51</v>
      </c>
      <c r="F176" s="29">
        <v>8</v>
      </c>
      <c r="K176" s="30"/>
    </row>
    <row r="177" spans="1:76" x14ac:dyDescent="0.25">
      <c r="A177" s="2" t="s">
        <v>358</v>
      </c>
      <c r="B177" s="3" t="s">
        <v>356</v>
      </c>
      <c r="C177" s="75" t="s">
        <v>359</v>
      </c>
      <c r="D177" s="70"/>
      <c r="E177" s="3" t="s">
        <v>57</v>
      </c>
      <c r="F177" s="24">
        <v>8</v>
      </c>
      <c r="G177" s="24">
        <v>0</v>
      </c>
      <c r="H177" s="24">
        <f>ROUND(F177*AO177,2)</f>
        <v>0</v>
      </c>
      <c r="I177" s="24">
        <f>ROUND(F177*AP177,2)</f>
        <v>0</v>
      </c>
      <c r="J177" s="24">
        <f>ROUND(F177*G177,2)</f>
        <v>0</v>
      </c>
      <c r="K177" s="25" t="s">
        <v>74</v>
      </c>
      <c r="Z177" s="24">
        <f>ROUND(IF(AQ177="5",BJ177,0),2)</f>
        <v>0</v>
      </c>
      <c r="AB177" s="24">
        <f>ROUND(IF(AQ177="1",BH177,0),2)</f>
        <v>0</v>
      </c>
      <c r="AC177" s="24">
        <f>ROUND(IF(AQ177="1",BI177,0),2)</f>
        <v>0</v>
      </c>
      <c r="AD177" s="24">
        <f>ROUND(IF(AQ177="7",BH177,0),2)</f>
        <v>0</v>
      </c>
      <c r="AE177" s="24">
        <f>ROUND(IF(AQ177="7",BI177,0),2)</f>
        <v>0</v>
      </c>
      <c r="AF177" s="24">
        <f>ROUND(IF(AQ177="2",BH177,0),2)</f>
        <v>0</v>
      </c>
      <c r="AG177" s="24">
        <f>ROUND(IF(AQ177="2",BI177,0),2)</f>
        <v>0</v>
      </c>
      <c r="AH177" s="24">
        <f>ROUND(IF(AQ177="0",BJ177,0),2)</f>
        <v>0</v>
      </c>
      <c r="AI177" s="10" t="s">
        <v>51</v>
      </c>
      <c r="AJ177" s="24">
        <f>IF(AN177=0,J177,0)</f>
        <v>0</v>
      </c>
      <c r="AK177" s="24">
        <f>IF(AN177=12,J177,0)</f>
        <v>0</v>
      </c>
      <c r="AL177" s="24">
        <f>IF(AN177=21,J177,0)</f>
        <v>0</v>
      </c>
      <c r="AN177" s="24">
        <v>21</v>
      </c>
      <c r="AO177" s="24">
        <f>G177*0</f>
        <v>0</v>
      </c>
      <c r="AP177" s="24">
        <f>G177*(1-0)</f>
        <v>0</v>
      </c>
      <c r="AQ177" s="26" t="s">
        <v>64</v>
      </c>
      <c r="AV177" s="24">
        <f>ROUND(AW177+AX177,2)</f>
        <v>0</v>
      </c>
      <c r="AW177" s="24">
        <f>ROUND(F177*AO177,2)</f>
        <v>0</v>
      </c>
      <c r="AX177" s="24">
        <f>ROUND(F177*AP177,2)</f>
        <v>0</v>
      </c>
      <c r="AY177" s="26" t="s">
        <v>353</v>
      </c>
      <c r="AZ177" s="26" t="s">
        <v>313</v>
      </c>
      <c r="BA177" s="10" t="s">
        <v>61</v>
      </c>
      <c r="BC177" s="24">
        <f>AW177+AX177</f>
        <v>0</v>
      </c>
      <c r="BD177" s="24">
        <f>G177/(100-BE177)*100</f>
        <v>0</v>
      </c>
      <c r="BE177" s="24">
        <v>0</v>
      </c>
      <c r="BF177" s="24">
        <f>177</f>
        <v>177</v>
      </c>
      <c r="BH177" s="24">
        <f>F177*AO177</f>
        <v>0</v>
      </c>
      <c r="BI177" s="24">
        <f>F177*AP177</f>
        <v>0</v>
      </c>
      <c r="BJ177" s="24">
        <f>F177*G177</f>
        <v>0</v>
      </c>
      <c r="BK177" s="24"/>
      <c r="BL177" s="24"/>
      <c r="BW177" s="24">
        <v>21</v>
      </c>
      <c r="BX177" s="4" t="s">
        <v>359</v>
      </c>
    </row>
    <row r="178" spans="1:76" x14ac:dyDescent="0.25">
      <c r="A178" s="27"/>
      <c r="C178" s="28" t="s">
        <v>114</v>
      </c>
      <c r="D178" s="28" t="s">
        <v>51</v>
      </c>
      <c r="F178" s="29">
        <v>8</v>
      </c>
      <c r="K178" s="30"/>
    </row>
    <row r="179" spans="1:76" x14ac:dyDescent="0.25">
      <c r="A179" s="2" t="s">
        <v>360</v>
      </c>
      <c r="B179" s="3" t="s">
        <v>361</v>
      </c>
      <c r="C179" s="75" t="s">
        <v>362</v>
      </c>
      <c r="D179" s="70"/>
      <c r="E179" s="3" t="s">
        <v>57</v>
      </c>
      <c r="F179" s="24">
        <v>2</v>
      </c>
      <c r="G179" s="24">
        <v>0</v>
      </c>
      <c r="H179" s="24">
        <f>ROUND(F179*AO179,2)</f>
        <v>0</v>
      </c>
      <c r="I179" s="24">
        <f>ROUND(F179*AP179,2)</f>
        <v>0</v>
      </c>
      <c r="J179" s="24">
        <f>ROUND(F179*G179,2)</f>
        <v>0</v>
      </c>
      <c r="K179" s="25" t="s">
        <v>74</v>
      </c>
      <c r="Z179" s="24">
        <f>ROUND(IF(AQ179="5",BJ179,0),2)</f>
        <v>0</v>
      </c>
      <c r="AB179" s="24">
        <f>ROUND(IF(AQ179="1",BH179,0),2)</f>
        <v>0</v>
      </c>
      <c r="AC179" s="24">
        <f>ROUND(IF(AQ179="1",BI179,0),2)</f>
        <v>0</v>
      </c>
      <c r="AD179" s="24">
        <f>ROUND(IF(AQ179="7",BH179,0),2)</f>
        <v>0</v>
      </c>
      <c r="AE179" s="24">
        <f>ROUND(IF(AQ179="7",BI179,0),2)</f>
        <v>0</v>
      </c>
      <c r="AF179" s="24">
        <f>ROUND(IF(AQ179="2",BH179,0),2)</f>
        <v>0</v>
      </c>
      <c r="AG179" s="24">
        <f>ROUND(IF(AQ179="2",BI179,0),2)</f>
        <v>0</v>
      </c>
      <c r="AH179" s="24">
        <f>ROUND(IF(AQ179="0",BJ179,0),2)</f>
        <v>0</v>
      </c>
      <c r="AI179" s="10" t="s">
        <v>51</v>
      </c>
      <c r="AJ179" s="24">
        <f>IF(AN179=0,J179,0)</f>
        <v>0</v>
      </c>
      <c r="AK179" s="24">
        <f>IF(AN179=12,J179,0)</f>
        <v>0</v>
      </c>
      <c r="AL179" s="24">
        <f>IF(AN179=21,J179,0)</f>
        <v>0</v>
      </c>
      <c r="AN179" s="24">
        <v>21</v>
      </c>
      <c r="AO179" s="24">
        <f>G179*0</f>
        <v>0</v>
      </c>
      <c r="AP179" s="24">
        <f>G179*(1-0)</f>
        <v>0</v>
      </c>
      <c r="AQ179" s="26" t="s">
        <v>64</v>
      </c>
      <c r="AV179" s="24">
        <f>ROUND(AW179+AX179,2)</f>
        <v>0</v>
      </c>
      <c r="AW179" s="24">
        <f>ROUND(F179*AO179,2)</f>
        <v>0</v>
      </c>
      <c r="AX179" s="24">
        <f>ROUND(F179*AP179,2)</f>
        <v>0</v>
      </c>
      <c r="AY179" s="26" t="s">
        <v>353</v>
      </c>
      <c r="AZ179" s="26" t="s">
        <v>313</v>
      </c>
      <c r="BA179" s="10" t="s">
        <v>61</v>
      </c>
      <c r="BC179" s="24">
        <f>AW179+AX179</f>
        <v>0</v>
      </c>
      <c r="BD179" s="24">
        <f>G179/(100-BE179)*100</f>
        <v>0</v>
      </c>
      <c r="BE179" s="24">
        <v>0</v>
      </c>
      <c r="BF179" s="24">
        <f>179</f>
        <v>179</v>
      </c>
      <c r="BH179" s="24">
        <f>F179*AO179</f>
        <v>0</v>
      </c>
      <c r="BI179" s="24">
        <f>F179*AP179</f>
        <v>0</v>
      </c>
      <c r="BJ179" s="24">
        <f>F179*G179</f>
        <v>0</v>
      </c>
      <c r="BK179" s="24"/>
      <c r="BL179" s="24"/>
      <c r="BW179" s="24">
        <v>21</v>
      </c>
      <c r="BX179" s="4" t="s">
        <v>362</v>
      </c>
    </row>
    <row r="180" spans="1:76" x14ac:dyDescent="0.25">
      <c r="A180" s="27"/>
      <c r="C180" s="28" t="s">
        <v>64</v>
      </c>
      <c r="D180" s="28" t="s">
        <v>51</v>
      </c>
      <c r="F180" s="29">
        <v>2</v>
      </c>
      <c r="K180" s="30"/>
    </row>
    <row r="181" spans="1:76" x14ac:dyDescent="0.25">
      <c r="A181" s="2" t="s">
        <v>363</v>
      </c>
      <c r="B181" s="3" t="s">
        <v>364</v>
      </c>
      <c r="C181" s="75" t="s">
        <v>365</v>
      </c>
      <c r="D181" s="70"/>
      <c r="E181" s="3" t="s">
        <v>57</v>
      </c>
      <c r="F181" s="24">
        <v>3</v>
      </c>
      <c r="G181" s="24">
        <v>0</v>
      </c>
      <c r="H181" s="24">
        <f>ROUND(F181*AO181,2)</f>
        <v>0</v>
      </c>
      <c r="I181" s="24">
        <f>ROUND(F181*AP181,2)</f>
        <v>0</v>
      </c>
      <c r="J181" s="24">
        <f>ROUND(F181*G181,2)</f>
        <v>0</v>
      </c>
      <c r="K181" s="25" t="s">
        <v>74</v>
      </c>
      <c r="Z181" s="24">
        <f>ROUND(IF(AQ181="5",BJ181,0),2)</f>
        <v>0</v>
      </c>
      <c r="AB181" s="24">
        <f>ROUND(IF(AQ181="1",BH181,0),2)</f>
        <v>0</v>
      </c>
      <c r="AC181" s="24">
        <f>ROUND(IF(AQ181="1",BI181,0),2)</f>
        <v>0</v>
      </c>
      <c r="AD181" s="24">
        <f>ROUND(IF(AQ181="7",BH181,0),2)</f>
        <v>0</v>
      </c>
      <c r="AE181" s="24">
        <f>ROUND(IF(AQ181="7",BI181,0),2)</f>
        <v>0</v>
      </c>
      <c r="AF181" s="24">
        <f>ROUND(IF(AQ181="2",BH181,0),2)</f>
        <v>0</v>
      </c>
      <c r="AG181" s="24">
        <f>ROUND(IF(AQ181="2",BI181,0),2)</f>
        <v>0</v>
      </c>
      <c r="AH181" s="24">
        <f>ROUND(IF(AQ181="0",BJ181,0),2)</f>
        <v>0</v>
      </c>
      <c r="AI181" s="10" t="s">
        <v>51</v>
      </c>
      <c r="AJ181" s="24">
        <f>IF(AN181=0,J181,0)</f>
        <v>0</v>
      </c>
      <c r="AK181" s="24">
        <f>IF(AN181=12,J181,0)</f>
        <v>0</v>
      </c>
      <c r="AL181" s="24">
        <f>IF(AN181=21,J181,0)</f>
        <v>0</v>
      </c>
      <c r="AN181" s="24">
        <v>21</v>
      </c>
      <c r="AO181" s="24">
        <f>G181*0</f>
        <v>0</v>
      </c>
      <c r="AP181" s="24">
        <f>G181*(1-0)</f>
        <v>0</v>
      </c>
      <c r="AQ181" s="26" t="s">
        <v>64</v>
      </c>
      <c r="AV181" s="24">
        <f>ROUND(AW181+AX181,2)</f>
        <v>0</v>
      </c>
      <c r="AW181" s="24">
        <f>ROUND(F181*AO181,2)</f>
        <v>0</v>
      </c>
      <c r="AX181" s="24">
        <f>ROUND(F181*AP181,2)</f>
        <v>0</v>
      </c>
      <c r="AY181" s="26" t="s">
        <v>353</v>
      </c>
      <c r="AZ181" s="26" t="s">
        <v>313</v>
      </c>
      <c r="BA181" s="10" t="s">
        <v>61</v>
      </c>
      <c r="BC181" s="24">
        <f>AW181+AX181</f>
        <v>0</v>
      </c>
      <c r="BD181" s="24">
        <f>G181/(100-BE181)*100</f>
        <v>0</v>
      </c>
      <c r="BE181" s="24">
        <v>0</v>
      </c>
      <c r="BF181" s="24">
        <f>181</f>
        <v>181</v>
      </c>
      <c r="BH181" s="24">
        <f>F181*AO181</f>
        <v>0</v>
      </c>
      <c r="BI181" s="24">
        <f>F181*AP181</f>
        <v>0</v>
      </c>
      <c r="BJ181" s="24">
        <f>F181*G181</f>
        <v>0</v>
      </c>
      <c r="BK181" s="24"/>
      <c r="BL181" s="24"/>
      <c r="BW181" s="24">
        <v>21</v>
      </c>
      <c r="BX181" s="4" t="s">
        <v>365</v>
      </c>
    </row>
    <row r="182" spans="1:76" x14ac:dyDescent="0.25">
      <c r="A182" s="27"/>
      <c r="C182" s="28" t="s">
        <v>70</v>
      </c>
      <c r="D182" s="28" t="s">
        <v>51</v>
      </c>
      <c r="F182" s="29">
        <v>3</v>
      </c>
      <c r="K182" s="30"/>
    </row>
    <row r="183" spans="1:76" x14ac:dyDescent="0.25">
      <c r="A183" s="2" t="s">
        <v>366</v>
      </c>
      <c r="B183" s="3" t="s">
        <v>367</v>
      </c>
      <c r="C183" s="75" t="s">
        <v>368</v>
      </c>
      <c r="D183" s="70"/>
      <c r="E183" s="3" t="s">
        <v>57</v>
      </c>
      <c r="F183" s="24">
        <v>1</v>
      </c>
      <c r="G183" s="24">
        <v>0</v>
      </c>
      <c r="H183" s="24">
        <f>ROUND(F183*AO183,2)</f>
        <v>0</v>
      </c>
      <c r="I183" s="24">
        <f>ROUND(F183*AP183,2)</f>
        <v>0</v>
      </c>
      <c r="J183" s="24">
        <f>ROUND(F183*G183,2)</f>
        <v>0</v>
      </c>
      <c r="K183" s="25" t="s">
        <v>74</v>
      </c>
      <c r="Z183" s="24">
        <f>ROUND(IF(AQ183="5",BJ183,0),2)</f>
        <v>0</v>
      </c>
      <c r="AB183" s="24">
        <f>ROUND(IF(AQ183="1",BH183,0),2)</f>
        <v>0</v>
      </c>
      <c r="AC183" s="24">
        <f>ROUND(IF(AQ183="1",BI183,0),2)</f>
        <v>0</v>
      </c>
      <c r="AD183" s="24">
        <f>ROUND(IF(AQ183="7",BH183,0),2)</f>
        <v>0</v>
      </c>
      <c r="AE183" s="24">
        <f>ROUND(IF(AQ183="7",BI183,0),2)</f>
        <v>0</v>
      </c>
      <c r="AF183" s="24">
        <f>ROUND(IF(AQ183="2",BH183,0),2)</f>
        <v>0</v>
      </c>
      <c r="AG183" s="24">
        <f>ROUND(IF(AQ183="2",BI183,0),2)</f>
        <v>0</v>
      </c>
      <c r="AH183" s="24">
        <f>ROUND(IF(AQ183="0",BJ183,0),2)</f>
        <v>0</v>
      </c>
      <c r="AI183" s="10" t="s">
        <v>51</v>
      </c>
      <c r="AJ183" s="24">
        <f>IF(AN183=0,J183,0)</f>
        <v>0</v>
      </c>
      <c r="AK183" s="24">
        <f>IF(AN183=12,J183,0)</f>
        <v>0</v>
      </c>
      <c r="AL183" s="24">
        <f>IF(AN183=21,J183,0)</f>
        <v>0</v>
      </c>
      <c r="AN183" s="24">
        <v>21</v>
      </c>
      <c r="AO183" s="24">
        <f>G183*0</f>
        <v>0</v>
      </c>
      <c r="AP183" s="24">
        <f>G183*(1-0)</f>
        <v>0</v>
      </c>
      <c r="AQ183" s="26" t="s">
        <v>64</v>
      </c>
      <c r="AV183" s="24">
        <f>ROUND(AW183+AX183,2)</f>
        <v>0</v>
      </c>
      <c r="AW183" s="24">
        <f>ROUND(F183*AO183,2)</f>
        <v>0</v>
      </c>
      <c r="AX183" s="24">
        <f>ROUND(F183*AP183,2)</f>
        <v>0</v>
      </c>
      <c r="AY183" s="26" t="s">
        <v>353</v>
      </c>
      <c r="AZ183" s="26" t="s">
        <v>313</v>
      </c>
      <c r="BA183" s="10" t="s">
        <v>61</v>
      </c>
      <c r="BC183" s="24">
        <f>AW183+AX183</f>
        <v>0</v>
      </c>
      <c r="BD183" s="24">
        <f>G183/(100-BE183)*100</f>
        <v>0</v>
      </c>
      <c r="BE183" s="24">
        <v>0</v>
      </c>
      <c r="BF183" s="24">
        <f>183</f>
        <v>183</v>
      </c>
      <c r="BH183" s="24">
        <f>F183*AO183</f>
        <v>0</v>
      </c>
      <c r="BI183" s="24">
        <f>F183*AP183</f>
        <v>0</v>
      </c>
      <c r="BJ183" s="24">
        <f>F183*G183</f>
        <v>0</v>
      </c>
      <c r="BK183" s="24"/>
      <c r="BL183" s="24"/>
      <c r="BW183" s="24">
        <v>21</v>
      </c>
      <c r="BX183" s="4" t="s">
        <v>368</v>
      </c>
    </row>
    <row r="184" spans="1:76" x14ac:dyDescent="0.25">
      <c r="A184" s="27"/>
      <c r="C184" s="28" t="s">
        <v>54</v>
      </c>
      <c r="D184" s="28" t="s">
        <v>51</v>
      </c>
      <c r="F184" s="29">
        <v>1</v>
      </c>
      <c r="K184" s="30"/>
    </row>
    <row r="185" spans="1:76" x14ac:dyDescent="0.25">
      <c r="A185" s="2" t="s">
        <v>369</v>
      </c>
      <c r="B185" s="3" t="s">
        <v>370</v>
      </c>
      <c r="C185" s="75" t="s">
        <v>371</v>
      </c>
      <c r="D185" s="70"/>
      <c r="E185" s="3" t="s">
        <v>372</v>
      </c>
      <c r="F185" s="24">
        <v>4</v>
      </c>
      <c r="G185" s="24">
        <v>0</v>
      </c>
      <c r="H185" s="24">
        <f>ROUND(F185*AO185,2)</f>
        <v>0</v>
      </c>
      <c r="I185" s="24">
        <f>ROUND(F185*AP185,2)</f>
        <v>0</v>
      </c>
      <c r="J185" s="24">
        <f>ROUND(F185*G185,2)</f>
        <v>0</v>
      </c>
      <c r="K185" s="25" t="s">
        <v>74</v>
      </c>
      <c r="Z185" s="24">
        <f>ROUND(IF(AQ185="5",BJ185,0),2)</f>
        <v>0</v>
      </c>
      <c r="AB185" s="24">
        <f>ROUND(IF(AQ185="1",BH185,0),2)</f>
        <v>0</v>
      </c>
      <c r="AC185" s="24">
        <f>ROUND(IF(AQ185="1",BI185,0),2)</f>
        <v>0</v>
      </c>
      <c r="AD185" s="24">
        <f>ROUND(IF(AQ185="7",BH185,0),2)</f>
        <v>0</v>
      </c>
      <c r="AE185" s="24">
        <f>ROUND(IF(AQ185="7",BI185,0),2)</f>
        <v>0</v>
      </c>
      <c r="AF185" s="24">
        <f>ROUND(IF(AQ185="2",BH185,0),2)</f>
        <v>0</v>
      </c>
      <c r="AG185" s="24">
        <f>ROUND(IF(AQ185="2",BI185,0),2)</f>
        <v>0</v>
      </c>
      <c r="AH185" s="24">
        <f>ROUND(IF(AQ185="0",BJ185,0),2)</f>
        <v>0</v>
      </c>
      <c r="AI185" s="10" t="s">
        <v>51</v>
      </c>
      <c r="AJ185" s="24">
        <f>IF(AN185=0,J185,0)</f>
        <v>0</v>
      </c>
      <c r="AK185" s="24">
        <f>IF(AN185=12,J185,0)</f>
        <v>0</v>
      </c>
      <c r="AL185" s="24">
        <f>IF(AN185=21,J185,0)</f>
        <v>0</v>
      </c>
      <c r="AN185" s="24">
        <v>21</v>
      </c>
      <c r="AO185" s="24">
        <f>G185*0</f>
        <v>0</v>
      </c>
      <c r="AP185" s="24">
        <f>G185*(1-0)</f>
        <v>0</v>
      </c>
      <c r="AQ185" s="26" t="s">
        <v>64</v>
      </c>
      <c r="AV185" s="24">
        <f>ROUND(AW185+AX185,2)</f>
        <v>0</v>
      </c>
      <c r="AW185" s="24">
        <f>ROUND(F185*AO185,2)</f>
        <v>0</v>
      </c>
      <c r="AX185" s="24">
        <f>ROUND(F185*AP185,2)</f>
        <v>0</v>
      </c>
      <c r="AY185" s="26" t="s">
        <v>353</v>
      </c>
      <c r="AZ185" s="26" t="s">
        <v>313</v>
      </c>
      <c r="BA185" s="10" t="s">
        <v>61</v>
      </c>
      <c r="BC185" s="24">
        <f>AW185+AX185</f>
        <v>0</v>
      </c>
      <c r="BD185" s="24">
        <f>G185/(100-BE185)*100</f>
        <v>0</v>
      </c>
      <c r="BE185" s="24">
        <v>0</v>
      </c>
      <c r="BF185" s="24">
        <f>185</f>
        <v>185</v>
      </c>
      <c r="BH185" s="24">
        <f>F185*AO185</f>
        <v>0</v>
      </c>
      <c r="BI185" s="24">
        <f>F185*AP185</f>
        <v>0</v>
      </c>
      <c r="BJ185" s="24">
        <f>F185*G185</f>
        <v>0</v>
      </c>
      <c r="BK185" s="24"/>
      <c r="BL185" s="24"/>
      <c r="BW185" s="24">
        <v>21</v>
      </c>
      <c r="BX185" s="4" t="s">
        <v>371</v>
      </c>
    </row>
    <row r="186" spans="1:76" x14ac:dyDescent="0.25">
      <c r="A186" s="27"/>
      <c r="C186" s="28" t="s">
        <v>82</v>
      </c>
      <c r="D186" s="28" t="s">
        <v>51</v>
      </c>
      <c r="F186" s="29">
        <v>4</v>
      </c>
      <c r="K186" s="30"/>
    </row>
    <row r="187" spans="1:76" x14ac:dyDescent="0.25">
      <c r="A187" s="2" t="s">
        <v>373</v>
      </c>
      <c r="B187" s="3" t="s">
        <v>374</v>
      </c>
      <c r="C187" s="75" t="s">
        <v>375</v>
      </c>
      <c r="D187" s="70"/>
      <c r="E187" s="3" t="s">
        <v>169</v>
      </c>
      <c r="F187" s="24">
        <v>100</v>
      </c>
      <c r="G187" s="24">
        <v>0</v>
      </c>
      <c r="H187" s="24">
        <f>ROUND(F187*AO187,2)</f>
        <v>0</v>
      </c>
      <c r="I187" s="24">
        <f>ROUND(F187*AP187,2)</f>
        <v>0</v>
      </c>
      <c r="J187" s="24">
        <f>ROUND(F187*G187,2)</f>
        <v>0</v>
      </c>
      <c r="K187" s="25" t="s">
        <v>58</v>
      </c>
      <c r="Z187" s="24">
        <f>ROUND(IF(AQ187="5",BJ187,0),2)</f>
        <v>0</v>
      </c>
      <c r="AB187" s="24">
        <f>ROUND(IF(AQ187="1",BH187,0),2)</f>
        <v>0</v>
      </c>
      <c r="AC187" s="24">
        <f>ROUND(IF(AQ187="1",BI187,0),2)</f>
        <v>0</v>
      </c>
      <c r="AD187" s="24">
        <f>ROUND(IF(AQ187="7",BH187,0),2)</f>
        <v>0</v>
      </c>
      <c r="AE187" s="24">
        <f>ROUND(IF(AQ187="7",BI187,0),2)</f>
        <v>0</v>
      </c>
      <c r="AF187" s="24">
        <f>ROUND(IF(AQ187="2",BH187,0),2)</f>
        <v>0</v>
      </c>
      <c r="AG187" s="24">
        <f>ROUND(IF(AQ187="2",BI187,0),2)</f>
        <v>0</v>
      </c>
      <c r="AH187" s="24">
        <f>ROUND(IF(AQ187="0",BJ187,0),2)</f>
        <v>0</v>
      </c>
      <c r="AI187" s="10" t="s">
        <v>51</v>
      </c>
      <c r="AJ187" s="24">
        <f>IF(AN187=0,J187,0)</f>
        <v>0</v>
      </c>
      <c r="AK187" s="24">
        <f>IF(AN187=12,J187,0)</f>
        <v>0</v>
      </c>
      <c r="AL187" s="24">
        <f>IF(AN187=21,J187,0)</f>
        <v>0</v>
      </c>
      <c r="AN187" s="24">
        <v>21</v>
      </c>
      <c r="AO187" s="24">
        <f>G187*0</f>
        <v>0</v>
      </c>
      <c r="AP187" s="24">
        <f>G187*(1-0)</f>
        <v>0</v>
      </c>
      <c r="AQ187" s="26" t="s">
        <v>64</v>
      </c>
      <c r="AV187" s="24">
        <f>ROUND(AW187+AX187,2)</f>
        <v>0</v>
      </c>
      <c r="AW187" s="24">
        <f>ROUND(F187*AO187,2)</f>
        <v>0</v>
      </c>
      <c r="AX187" s="24">
        <f>ROUND(F187*AP187,2)</f>
        <v>0</v>
      </c>
      <c r="AY187" s="26" t="s">
        <v>353</v>
      </c>
      <c r="AZ187" s="26" t="s">
        <v>313</v>
      </c>
      <c r="BA187" s="10" t="s">
        <v>61</v>
      </c>
      <c r="BC187" s="24">
        <f>AW187+AX187</f>
        <v>0</v>
      </c>
      <c r="BD187" s="24">
        <f>G187/(100-BE187)*100</f>
        <v>0</v>
      </c>
      <c r="BE187" s="24">
        <v>0</v>
      </c>
      <c r="BF187" s="24">
        <f>187</f>
        <v>187</v>
      </c>
      <c r="BH187" s="24">
        <f>F187*AO187</f>
        <v>0</v>
      </c>
      <c r="BI187" s="24">
        <f>F187*AP187</f>
        <v>0</v>
      </c>
      <c r="BJ187" s="24">
        <f>F187*G187</f>
        <v>0</v>
      </c>
      <c r="BK187" s="24"/>
      <c r="BL187" s="24"/>
      <c r="BW187" s="24">
        <v>21</v>
      </c>
      <c r="BX187" s="4" t="s">
        <v>375</v>
      </c>
    </row>
    <row r="188" spans="1:76" x14ac:dyDescent="0.25">
      <c r="A188" s="27"/>
      <c r="C188" s="28" t="s">
        <v>376</v>
      </c>
      <c r="D188" s="28" t="s">
        <v>377</v>
      </c>
      <c r="F188" s="29">
        <v>100</v>
      </c>
      <c r="K188" s="30"/>
    </row>
    <row r="189" spans="1:76" x14ac:dyDescent="0.25">
      <c r="A189" s="2" t="s">
        <v>224</v>
      </c>
      <c r="B189" s="3" t="s">
        <v>378</v>
      </c>
      <c r="C189" s="75" t="s">
        <v>379</v>
      </c>
      <c r="D189" s="70"/>
      <c r="E189" s="3" t="s">
        <v>169</v>
      </c>
      <c r="F189" s="24">
        <v>260</v>
      </c>
      <c r="G189" s="24">
        <v>0</v>
      </c>
      <c r="H189" s="24">
        <f>ROUND(F189*AO189,2)</f>
        <v>0</v>
      </c>
      <c r="I189" s="24">
        <f>ROUND(F189*AP189,2)</f>
        <v>0</v>
      </c>
      <c r="J189" s="24">
        <f>ROUND(F189*G189,2)</f>
        <v>0</v>
      </c>
      <c r="K189" s="25" t="s">
        <v>58</v>
      </c>
      <c r="Z189" s="24">
        <f>ROUND(IF(AQ189="5",BJ189,0),2)</f>
        <v>0</v>
      </c>
      <c r="AB189" s="24">
        <f>ROUND(IF(AQ189="1",BH189,0),2)</f>
        <v>0</v>
      </c>
      <c r="AC189" s="24">
        <f>ROUND(IF(AQ189="1",BI189,0),2)</f>
        <v>0</v>
      </c>
      <c r="AD189" s="24">
        <f>ROUND(IF(AQ189="7",BH189,0),2)</f>
        <v>0</v>
      </c>
      <c r="AE189" s="24">
        <f>ROUND(IF(AQ189="7",BI189,0),2)</f>
        <v>0</v>
      </c>
      <c r="AF189" s="24">
        <f>ROUND(IF(AQ189="2",BH189,0),2)</f>
        <v>0</v>
      </c>
      <c r="AG189" s="24">
        <f>ROUND(IF(AQ189="2",BI189,0),2)</f>
        <v>0</v>
      </c>
      <c r="AH189" s="24">
        <f>ROUND(IF(AQ189="0",BJ189,0),2)</f>
        <v>0</v>
      </c>
      <c r="AI189" s="10" t="s">
        <v>51</v>
      </c>
      <c r="AJ189" s="24">
        <f>IF(AN189=0,J189,0)</f>
        <v>0</v>
      </c>
      <c r="AK189" s="24">
        <f>IF(AN189=12,J189,0)</f>
        <v>0</v>
      </c>
      <c r="AL189" s="24">
        <f>IF(AN189=21,J189,0)</f>
        <v>0</v>
      </c>
      <c r="AN189" s="24">
        <v>21</v>
      </c>
      <c r="AO189" s="24">
        <f>G189*0.680681115</f>
        <v>0</v>
      </c>
      <c r="AP189" s="24">
        <f>G189*(1-0.680681115)</f>
        <v>0</v>
      </c>
      <c r="AQ189" s="26" t="s">
        <v>64</v>
      </c>
      <c r="AV189" s="24">
        <f>ROUND(AW189+AX189,2)</f>
        <v>0</v>
      </c>
      <c r="AW189" s="24">
        <f>ROUND(F189*AO189,2)</f>
        <v>0</v>
      </c>
      <c r="AX189" s="24">
        <f>ROUND(F189*AP189,2)</f>
        <v>0</v>
      </c>
      <c r="AY189" s="26" t="s">
        <v>353</v>
      </c>
      <c r="AZ189" s="26" t="s">
        <v>313</v>
      </c>
      <c r="BA189" s="10" t="s">
        <v>61</v>
      </c>
      <c r="BC189" s="24">
        <f>AW189+AX189</f>
        <v>0</v>
      </c>
      <c r="BD189" s="24">
        <f>G189/(100-BE189)*100</f>
        <v>0</v>
      </c>
      <c r="BE189" s="24">
        <v>0</v>
      </c>
      <c r="BF189" s="24">
        <f>189</f>
        <v>189</v>
      </c>
      <c r="BH189" s="24">
        <f>F189*AO189</f>
        <v>0</v>
      </c>
      <c r="BI189" s="24">
        <f>F189*AP189</f>
        <v>0</v>
      </c>
      <c r="BJ189" s="24">
        <f>F189*G189</f>
        <v>0</v>
      </c>
      <c r="BK189" s="24"/>
      <c r="BL189" s="24"/>
      <c r="BW189" s="24">
        <v>21</v>
      </c>
      <c r="BX189" s="4" t="s">
        <v>379</v>
      </c>
    </row>
    <row r="190" spans="1:76" x14ac:dyDescent="0.25">
      <c r="A190" s="27"/>
      <c r="C190" s="28" t="s">
        <v>380</v>
      </c>
      <c r="D190" s="28" t="s">
        <v>381</v>
      </c>
      <c r="F190" s="29">
        <v>260</v>
      </c>
      <c r="K190" s="30"/>
    </row>
    <row r="191" spans="1:76" x14ac:dyDescent="0.25">
      <c r="A191" s="27"/>
      <c r="B191" s="31" t="s">
        <v>62</v>
      </c>
      <c r="C191" s="91" t="s">
        <v>377</v>
      </c>
      <c r="D191" s="92"/>
      <c r="E191" s="92"/>
      <c r="F191" s="92"/>
      <c r="G191" s="92"/>
      <c r="H191" s="92"/>
      <c r="I191" s="92"/>
      <c r="J191" s="92"/>
      <c r="K191" s="93"/>
      <c r="BX191" s="32" t="s">
        <v>377</v>
      </c>
    </row>
    <row r="192" spans="1:76" x14ac:dyDescent="0.25">
      <c r="A192" s="2" t="s">
        <v>382</v>
      </c>
      <c r="B192" s="3" t="s">
        <v>383</v>
      </c>
      <c r="C192" s="75" t="s">
        <v>384</v>
      </c>
      <c r="D192" s="70"/>
      <c r="E192" s="3" t="s">
        <v>169</v>
      </c>
      <c r="F192" s="24">
        <v>150</v>
      </c>
      <c r="G192" s="24">
        <v>0</v>
      </c>
      <c r="H192" s="24">
        <f>ROUND(F192*AO192,2)</f>
        <v>0</v>
      </c>
      <c r="I192" s="24">
        <f>ROUND(F192*AP192,2)</f>
        <v>0</v>
      </c>
      <c r="J192" s="24">
        <f>ROUND(F192*G192,2)</f>
        <v>0</v>
      </c>
      <c r="K192" s="25" t="s">
        <v>58</v>
      </c>
      <c r="Z192" s="24">
        <f>ROUND(IF(AQ192="5",BJ192,0),2)</f>
        <v>0</v>
      </c>
      <c r="AB192" s="24">
        <f>ROUND(IF(AQ192="1",BH192,0),2)</f>
        <v>0</v>
      </c>
      <c r="AC192" s="24">
        <f>ROUND(IF(AQ192="1",BI192,0),2)</f>
        <v>0</v>
      </c>
      <c r="AD192" s="24">
        <f>ROUND(IF(AQ192="7",BH192,0),2)</f>
        <v>0</v>
      </c>
      <c r="AE192" s="24">
        <f>ROUND(IF(AQ192="7",BI192,0),2)</f>
        <v>0</v>
      </c>
      <c r="AF192" s="24">
        <f>ROUND(IF(AQ192="2",BH192,0),2)</f>
        <v>0</v>
      </c>
      <c r="AG192" s="24">
        <f>ROUND(IF(AQ192="2",BI192,0),2)</f>
        <v>0</v>
      </c>
      <c r="AH192" s="24">
        <f>ROUND(IF(AQ192="0",BJ192,0),2)</f>
        <v>0</v>
      </c>
      <c r="AI192" s="10" t="s">
        <v>51</v>
      </c>
      <c r="AJ192" s="24">
        <f>IF(AN192=0,J192,0)</f>
        <v>0</v>
      </c>
      <c r="AK192" s="24">
        <f>IF(AN192=12,J192,0)</f>
        <v>0</v>
      </c>
      <c r="AL192" s="24">
        <f>IF(AN192=21,J192,0)</f>
        <v>0</v>
      </c>
      <c r="AN192" s="24">
        <v>21</v>
      </c>
      <c r="AO192" s="24">
        <f>G192*0.527361111</f>
        <v>0</v>
      </c>
      <c r="AP192" s="24">
        <f>G192*(1-0.527361111)</f>
        <v>0</v>
      </c>
      <c r="AQ192" s="26" t="s">
        <v>64</v>
      </c>
      <c r="AV192" s="24">
        <f>ROUND(AW192+AX192,2)</f>
        <v>0</v>
      </c>
      <c r="AW192" s="24">
        <f>ROUND(F192*AO192,2)</f>
        <v>0</v>
      </c>
      <c r="AX192" s="24">
        <f>ROUND(F192*AP192,2)</f>
        <v>0</v>
      </c>
      <c r="AY192" s="26" t="s">
        <v>353</v>
      </c>
      <c r="AZ192" s="26" t="s">
        <v>313</v>
      </c>
      <c r="BA192" s="10" t="s">
        <v>61</v>
      </c>
      <c r="BC192" s="24">
        <f>AW192+AX192</f>
        <v>0</v>
      </c>
      <c r="BD192" s="24">
        <f>G192/(100-BE192)*100</f>
        <v>0</v>
      </c>
      <c r="BE192" s="24">
        <v>0</v>
      </c>
      <c r="BF192" s="24">
        <f>192</f>
        <v>192</v>
      </c>
      <c r="BH192" s="24">
        <f>F192*AO192</f>
        <v>0</v>
      </c>
      <c r="BI192" s="24">
        <f>F192*AP192</f>
        <v>0</v>
      </c>
      <c r="BJ192" s="24">
        <f>F192*G192</f>
        <v>0</v>
      </c>
      <c r="BK192" s="24"/>
      <c r="BL192" s="24"/>
      <c r="BW192" s="24">
        <v>21</v>
      </c>
      <c r="BX192" s="4" t="s">
        <v>384</v>
      </c>
    </row>
    <row r="193" spans="1:76" x14ac:dyDescent="0.25">
      <c r="A193" s="27"/>
      <c r="C193" s="28" t="s">
        <v>254</v>
      </c>
      <c r="D193" s="28" t="s">
        <v>51</v>
      </c>
      <c r="F193" s="29">
        <v>150</v>
      </c>
      <c r="K193" s="30"/>
    </row>
    <row r="194" spans="1:76" x14ac:dyDescent="0.25">
      <c r="A194" s="2" t="s">
        <v>245</v>
      </c>
      <c r="B194" s="3" t="s">
        <v>385</v>
      </c>
      <c r="C194" s="75" t="s">
        <v>386</v>
      </c>
      <c r="D194" s="70"/>
      <c r="E194" s="3" t="s">
        <v>169</v>
      </c>
      <c r="F194" s="24">
        <v>150</v>
      </c>
      <c r="G194" s="24">
        <v>0</v>
      </c>
      <c r="H194" s="24">
        <f>ROUND(F194*AO194,2)</f>
        <v>0</v>
      </c>
      <c r="I194" s="24">
        <f>ROUND(F194*AP194,2)</f>
        <v>0</v>
      </c>
      <c r="J194" s="24">
        <f>ROUND(F194*G194,2)</f>
        <v>0</v>
      </c>
      <c r="K194" s="25" t="s">
        <v>58</v>
      </c>
      <c r="Z194" s="24">
        <f>ROUND(IF(AQ194="5",BJ194,0),2)</f>
        <v>0</v>
      </c>
      <c r="AB194" s="24">
        <f>ROUND(IF(AQ194="1",BH194,0),2)</f>
        <v>0</v>
      </c>
      <c r="AC194" s="24">
        <f>ROUND(IF(AQ194="1",BI194,0),2)</f>
        <v>0</v>
      </c>
      <c r="AD194" s="24">
        <f>ROUND(IF(AQ194="7",BH194,0),2)</f>
        <v>0</v>
      </c>
      <c r="AE194" s="24">
        <f>ROUND(IF(AQ194="7",BI194,0),2)</f>
        <v>0</v>
      </c>
      <c r="AF194" s="24">
        <f>ROUND(IF(AQ194="2",BH194,0),2)</f>
        <v>0</v>
      </c>
      <c r="AG194" s="24">
        <f>ROUND(IF(AQ194="2",BI194,0),2)</f>
        <v>0</v>
      </c>
      <c r="AH194" s="24">
        <f>ROUND(IF(AQ194="0",BJ194,0),2)</f>
        <v>0</v>
      </c>
      <c r="AI194" s="10" t="s">
        <v>51</v>
      </c>
      <c r="AJ194" s="24">
        <f>IF(AN194=0,J194,0)</f>
        <v>0</v>
      </c>
      <c r="AK194" s="24">
        <f>IF(AN194=12,J194,0)</f>
        <v>0</v>
      </c>
      <c r="AL194" s="24">
        <f>IF(AN194=21,J194,0)</f>
        <v>0</v>
      </c>
      <c r="AN194" s="24">
        <v>21</v>
      </c>
      <c r="AO194" s="24">
        <f>G194*0.345102923</f>
        <v>0</v>
      </c>
      <c r="AP194" s="24">
        <f>G194*(1-0.345102923)</f>
        <v>0</v>
      </c>
      <c r="AQ194" s="26" t="s">
        <v>64</v>
      </c>
      <c r="AV194" s="24">
        <f>ROUND(AW194+AX194,2)</f>
        <v>0</v>
      </c>
      <c r="AW194" s="24">
        <f>ROUND(F194*AO194,2)</f>
        <v>0</v>
      </c>
      <c r="AX194" s="24">
        <f>ROUND(F194*AP194,2)</f>
        <v>0</v>
      </c>
      <c r="AY194" s="26" t="s">
        <v>353</v>
      </c>
      <c r="AZ194" s="26" t="s">
        <v>313</v>
      </c>
      <c r="BA194" s="10" t="s">
        <v>61</v>
      </c>
      <c r="BC194" s="24">
        <f>AW194+AX194</f>
        <v>0</v>
      </c>
      <c r="BD194" s="24">
        <f>G194/(100-BE194)*100</f>
        <v>0</v>
      </c>
      <c r="BE194" s="24">
        <v>0</v>
      </c>
      <c r="BF194" s="24">
        <f>194</f>
        <v>194</v>
      </c>
      <c r="BH194" s="24">
        <f>F194*AO194</f>
        <v>0</v>
      </c>
      <c r="BI194" s="24">
        <f>F194*AP194</f>
        <v>0</v>
      </c>
      <c r="BJ194" s="24">
        <f>F194*G194</f>
        <v>0</v>
      </c>
      <c r="BK194" s="24"/>
      <c r="BL194" s="24"/>
      <c r="BW194" s="24">
        <v>21</v>
      </c>
      <c r="BX194" s="4" t="s">
        <v>386</v>
      </c>
    </row>
    <row r="195" spans="1:76" x14ac:dyDescent="0.25">
      <c r="A195" s="27"/>
      <c r="C195" s="28" t="s">
        <v>254</v>
      </c>
      <c r="D195" s="28" t="s">
        <v>51</v>
      </c>
      <c r="F195" s="29">
        <v>150</v>
      </c>
      <c r="K195" s="30"/>
    </row>
    <row r="196" spans="1:76" x14ac:dyDescent="0.25">
      <c r="A196" s="2" t="s">
        <v>255</v>
      </c>
      <c r="B196" s="3" t="s">
        <v>387</v>
      </c>
      <c r="C196" s="75" t="s">
        <v>388</v>
      </c>
      <c r="D196" s="70"/>
      <c r="E196" s="3" t="s">
        <v>389</v>
      </c>
      <c r="F196" s="24">
        <v>1</v>
      </c>
      <c r="G196" s="24">
        <v>0</v>
      </c>
      <c r="H196" s="24">
        <f>ROUND(F196*AO196,2)</f>
        <v>0</v>
      </c>
      <c r="I196" s="24">
        <f>ROUND(F196*AP196,2)</f>
        <v>0</v>
      </c>
      <c r="J196" s="24">
        <f>ROUND(F196*G196,2)</f>
        <v>0</v>
      </c>
      <c r="K196" s="25" t="s">
        <v>51</v>
      </c>
      <c r="Z196" s="24">
        <f>ROUND(IF(AQ196="5",BJ196,0),2)</f>
        <v>0</v>
      </c>
      <c r="AB196" s="24">
        <f>ROUND(IF(AQ196="1",BH196,0),2)</f>
        <v>0</v>
      </c>
      <c r="AC196" s="24">
        <f>ROUND(IF(AQ196="1",BI196,0),2)</f>
        <v>0</v>
      </c>
      <c r="AD196" s="24">
        <f>ROUND(IF(AQ196="7",BH196,0),2)</f>
        <v>0</v>
      </c>
      <c r="AE196" s="24">
        <f>ROUND(IF(AQ196="7",BI196,0),2)</f>
        <v>0</v>
      </c>
      <c r="AF196" s="24">
        <f>ROUND(IF(AQ196="2",BH196,0),2)</f>
        <v>0</v>
      </c>
      <c r="AG196" s="24">
        <f>ROUND(IF(AQ196="2",BI196,0),2)</f>
        <v>0</v>
      </c>
      <c r="AH196" s="24">
        <f>ROUND(IF(AQ196="0",BJ196,0),2)</f>
        <v>0</v>
      </c>
      <c r="AI196" s="10" t="s">
        <v>51</v>
      </c>
      <c r="AJ196" s="24">
        <f>IF(AN196=0,J196,0)</f>
        <v>0</v>
      </c>
      <c r="AK196" s="24">
        <f>IF(AN196=12,J196,0)</f>
        <v>0</v>
      </c>
      <c r="AL196" s="24">
        <f>IF(AN196=21,J196,0)</f>
        <v>0</v>
      </c>
      <c r="AN196" s="24">
        <v>21</v>
      </c>
      <c r="AO196" s="24">
        <f>G196*0</f>
        <v>0</v>
      </c>
      <c r="AP196" s="24">
        <f>G196*(1-0)</f>
        <v>0</v>
      </c>
      <c r="AQ196" s="26" t="s">
        <v>54</v>
      </c>
      <c r="AV196" s="24">
        <f>ROUND(AW196+AX196,2)</f>
        <v>0</v>
      </c>
      <c r="AW196" s="24">
        <f>ROUND(F196*AO196,2)</f>
        <v>0</v>
      </c>
      <c r="AX196" s="24">
        <f>ROUND(F196*AP196,2)</f>
        <v>0</v>
      </c>
      <c r="AY196" s="26" t="s">
        <v>353</v>
      </c>
      <c r="AZ196" s="26" t="s">
        <v>313</v>
      </c>
      <c r="BA196" s="10" t="s">
        <v>61</v>
      </c>
      <c r="BC196" s="24">
        <f>AW196+AX196</f>
        <v>0</v>
      </c>
      <c r="BD196" s="24">
        <f>G196/(100-BE196)*100</f>
        <v>0</v>
      </c>
      <c r="BE196" s="24">
        <v>0</v>
      </c>
      <c r="BF196" s="24">
        <f>196</f>
        <v>196</v>
      </c>
      <c r="BH196" s="24">
        <f>F196*AO196</f>
        <v>0</v>
      </c>
      <c r="BI196" s="24">
        <f>F196*AP196</f>
        <v>0</v>
      </c>
      <c r="BJ196" s="24">
        <f>F196*G196</f>
        <v>0</v>
      </c>
      <c r="BK196" s="24"/>
      <c r="BL196" s="24"/>
      <c r="BW196" s="24">
        <v>21</v>
      </c>
      <c r="BX196" s="4" t="s">
        <v>388</v>
      </c>
    </row>
    <row r="197" spans="1:76" x14ac:dyDescent="0.25">
      <c r="A197" s="27"/>
      <c r="C197" s="28" t="s">
        <v>54</v>
      </c>
      <c r="D197" s="28" t="s">
        <v>51</v>
      </c>
      <c r="F197" s="29">
        <v>1</v>
      </c>
      <c r="K197" s="30"/>
    </row>
    <row r="198" spans="1:76" x14ac:dyDescent="0.25">
      <c r="A198" s="2" t="s">
        <v>390</v>
      </c>
      <c r="B198" s="3" t="s">
        <v>391</v>
      </c>
      <c r="C198" s="75" t="s">
        <v>392</v>
      </c>
      <c r="D198" s="70"/>
      <c r="E198" s="3" t="s">
        <v>389</v>
      </c>
      <c r="F198" s="24">
        <v>1</v>
      </c>
      <c r="G198" s="24">
        <v>0</v>
      </c>
      <c r="H198" s="24">
        <f>ROUND(F198*AO198,2)</f>
        <v>0</v>
      </c>
      <c r="I198" s="24">
        <f>ROUND(F198*AP198,2)</f>
        <v>0</v>
      </c>
      <c r="J198" s="24">
        <f>ROUND(F198*G198,2)</f>
        <v>0</v>
      </c>
      <c r="K198" s="25" t="s">
        <v>51</v>
      </c>
      <c r="Z198" s="24">
        <f>ROUND(IF(AQ198="5",BJ198,0),2)</f>
        <v>0</v>
      </c>
      <c r="AB198" s="24">
        <f>ROUND(IF(AQ198="1",BH198,0),2)</f>
        <v>0</v>
      </c>
      <c r="AC198" s="24">
        <f>ROUND(IF(AQ198="1",BI198,0),2)</f>
        <v>0</v>
      </c>
      <c r="AD198" s="24">
        <f>ROUND(IF(AQ198="7",BH198,0),2)</f>
        <v>0</v>
      </c>
      <c r="AE198" s="24">
        <f>ROUND(IF(AQ198="7",BI198,0),2)</f>
        <v>0</v>
      </c>
      <c r="AF198" s="24">
        <f>ROUND(IF(AQ198="2",BH198,0),2)</f>
        <v>0</v>
      </c>
      <c r="AG198" s="24">
        <f>ROUND(IF(AQ198="2",BI198,0),2)</f>
        <v>0</v>
      </c>
      <c r="AH198" s="24">
        <f>ROUND(IF(AQ198="0",BJ198,0),2)</f>
        <v>0</v>
      </c>
      <c r="AI198" s="10" t="s">
        <v>51</v>
      </c>
      <c r="AJ198" s="24">
        <f>IF(AN198=0,J198,0)</f>
        <v>0</v>
      </c>
      <c r="AK198" s="24">
        <f>IF(AN198=12,J198,0)</f>
        <v>0</v>
      </c>
      <c r="AL198" s="24">
        <f>IF(AN198=21,J198,0)</f>
        <v>0</v>
      </c>
      <c r="AN198" s="24">
        <v>21</v>
      </c>
      <c r="AO198" s="24">
        <f>G198*0</f>
        <v>0</v>
      </c>
      <c r="AP198" s="24">
        <f>G198*(1-0)</f>
        <v>0</v>
      </c>
      <c r="AQ198" s="26" t="s">
        <v>54</v>
      </c>
      <c r="AV198" s="24">
        <f>ROUND(AW198+AX198,2)</f>
        <v>0</v>
      </c>
      <c r="AW198" s="24">
        <f>ROUND(F198*AO198,2)</f>
        <v>0</v>
      </c>
      <c r="AX198" s="24">
        <f>ROUND(F198*AP198,2)</f>
        <v>0</v>
      </c>
      <c r="AY198" s="26" t="s">
        <v>353</v>
      </c>
      <c r="AZ198" s="26" t="s">
        <v>313</v>
      </c>
      <c r="BA198" s="10" t="s">
        <v>61</v>
      </c>
      <c r="BC198" s="24">
        <f>AW198+AX198</f>
        <v>0</v>
      </c>
      <c r="BD198" s="24">
        <f>G198/(100-BE198)*100</f>
        <v>0</v>
      </c>
      <c r="BE198" s="24">
        <v>0</v>
      </c>
      <c r="BF198" s="24">
        <f>198</f>
        <v>198</v>
      </c>
      <c r="BH198" s="24">
        <f>F198*AO198</f>
        <v>0</v>
      </c>
      <c r="BI198" s="24">
        <f>F198*AP198</f>
        <v>0</v>
      </c>
      <c r="BJ198" s="24">
        <f>F198*G198</f>
        <v>0</v>
      </c>
      <c r="BK198" s="24"/>
      <c r="BL198" s="24"/>
      <c r="BW198" s="24">
        <v>21</v>
      </c>
      <c r="BX198" s="4" t="s">
        <v>392</v>
      </c>
    </row>
    <row r="199" spans="1:76" x14ac:dyDescent="0.25">
      <c r="A199" s="27"/>
      <c r="C199" s="28" t="s">
        <v>54</v>
      </c>
      <c r="D199" s="28" t="s">
        <v>51</v>
      </c>
      <c r="F199" s="29">
        <v>1</v>
      </c>
      <c r="K199" s="30"/>
    </row>
    <row r="200" spans="1:76" x14ac:dyDescent="0.25">
      <c r="A200" s="2" t="s">
        <v>393</v>
      </c>
      <c r="B200" s="3" t="s">
        <v>394</v>
      </c>
      <c r="C200" s="75" t="s">
        <v>395</v>
      </c>
      <c r="D200" s="70"/>
      <c r="E200" s="3" t="s">
        <v>389</v>
      </c>
      <c r="F200" s="24">
        <v>1</v>
      </c>
      <c r="G200" s="24">
        <v>0</v>
      </c>
      <c r="H200" s="24">
        <f>ROUND(F200*AO200,2)</f>
        <v>0</v>
      </c>
      <c r="I200" s="24">
        <f>ROUND(F200*AP200,2)</f>
        <v>0</v>
      </c>
      <c r="J200" s="24">
        <f>ROUND(F200*G200,2)</f>
        <v>0</v>
      </c>
      <c r="K200" s="25" t="s">
        <v>51</v>
      </c>
      <c r="Z200" s="24">
        <f>ROUND(IF(AQ200="5",BJ200,0),2)</f>
        <v>0</v>
      </c>
      <c r="AB200" s="24">
        <f>ROUND(IF(AQ200="1",BH200,0),2)</f>
        <v>0</v>
      </c>
      <c r="AC200" s="24">
        <f>ROUND(IF(AQ200="1",BI200,0),2)</f>
        <v>0</v>
      </c>
      <c r="AD200" s="24">
        <f>ROUND(IF(AQ200="7",BH200,0),2)</f>
        <v>0</v>
      </c>
      <c r="AE200" s="24">
        <f>ROUND(IF(AQ200="7",BI200,0),2)</f>
        <v>0</v>
      </c>
      <c r="AF200" s="24">
        <f>ROUND(IF(AQ200="2",BH200,0),2)</f>
        <v>0</v>
      </c>
      <c r="AG200" s="24">
        <f>ROUND(IF(AQ200="2",BI200,0),2)</f>
        <v>0</v>
      </c>
      <c r="AH200" s="24">
        <f>ROUND(IF(AQ200="0",BJ200,0),2)</f>
        <v>0</v>
      </c>
      <c r="AI200" s="10" t="s">
        <v>51</v>
      </c>
      <c r="AJ200" s="24">
        <f>IF(AN200=0,J200,0)</f>
        <v>0</v>
      </c>
      <c r="AK200" s="24">
        <f>IF(AN200=12,J200,0)</f>
        <v>0</v>
      </c>
      <c r="AL200" s="24">
        <f>IF(AN200=21,J200,0)</f>
        <v>0</v>
      </c>
      <c r="AN200" s="24">
        <v>21</v>
      </c>
      <c r="AO200" s="24">
        <f>G200*0</f>
        <v>0</v>
      </c>
      <c r="AP200" s="24">
        <f>G200*(1-0)</f>
        <v>0</v>
      </c>
      <c r="AQ200" s="26" t="s">
        <v>54</v>
      </c>
      <c r="AV200" s="24">
        <f>ROUND(AW200+AX200,2)</f>
        <v>0</v>
      </c>
      <c r="AW200" s="24">
        <f>ROUND(F200*AO200,2)</f>
        <v>0</v>
      </c>
      <c r="AX200" s="24">
        <f>ROUND(F200*AP200,2)</f>
        <v>0</v>
      </c>
      <c r="AY200" s="26" t="s">
        <v>353</v>
      </c>
      <c r="AZ200" s="26" t="s">
        <v>313</v>
      </c>
      <c r="BA200" s="10" t="s">
        <v>61</v>
      </c>
      <c r="BC200" s="24">
        <f>AW200+AX200</f>
        <v>0</v>
      </c>
      <c r="BD200" s="24">
        <f>G200/(100-BE200)*100</f>
        <v>0</v>
      </c>
      <c r="BE200" s="24">
        <v>0</v>
      </c>
      <c r="BF200" s="24">
        <f>200</f>
        <v>200</v>
      </c>
      <c r="BH200" s="24">
        <f>F200*AO200</f>
        <v>0</v>
      </c>
      <c r="BI200" s="24">
        <f>F200*AP200</f>
        <v>0</v>
      </c>
      <c r="BJ200" s="24">
        <f>F200*G200</f>
        <v>0</v>
      </c>
      <c r="BK200" s="24"/>
      <c r="BL200" s="24"/>
      <c r="BW200" s="24">
        <v>21</v>
      </c>
      <c r="BX200" s="4" t="s">
        <v>395</v>
      </c>
    </row>
    <row r="201" spans="1:76" x14ac:dyDescent="0.25">
      <c r="A201" s="27"/>
      <c r="C201" s="28" t="s">
        <v>54</v>
      </c>
      <c r="D201" s="28" t="s">
        <v>51</v>
      </c>
      <c r="F201" s="29">
        <v>1</v>
      </c>
      <c r="K201" s="30"/>
    </row>
    <row r="202" spans="1:76" x14ac:dyDescent="0.25">
      <c r="A202" s="2" t="s">
        <v>396</v>
      </c>
      <c r="B202" s="3" t="s">
        <v>397</v>
      </c>
      <c r="C202" s="75" t="s">
        <v>398</v>
      </c>
      <c r="D202" s="70"/>
      <c r="E202" s="3" t="s">
        <v>399</v>
      </c>
      <c r="F202" s="24">
        <v>10</v>
      </c>
      <c r="G202" s="24">
        <v>0</v>
      </c>
      <c r="H202" s="24">
        <f>ROUND(F202*AO202,2)</f>
        <v>0</v>
      </c>
      <c r="I202" s="24">
        <f>ROUND(F202*AP202,2)</f>
        <v>0</v>
      </c>
      <c r="J202" s="24">
        <f>ROUND(F202*G202,2)</f>
        <v>0</v>
      </c>
      <c r="K202" s="25" t="s">
        <v>58</v>
      </c>
      <c r="Z202" s="24">
        <f>ROUND(IF(AQ202="5",BJ202,0),2)</f>
        <v>0</v>
      </c>
      <c r="AB202" s="24">
        <f>ROUND(IF(AQ202="1",BH202,0),2)</f>
        <v>0</v>
      </c>
      <c r="AC202" s="24">
        <f>ROUND(IF(AQ202="1",BI202,0),2)</f>
        <v>0</v>
      </c>
      <c r="AD202" s="24">
        <f>ROUND(IF(AQ202="7",BH202,0),2)</f>
        <v>0</v>
      </c>
      <c r="AE202" s="24">
        <f>ROUND(IF(AQ202="7",BI202,0),2)</f>
        <v>0</v>
      </c>
      <c r="AF202" s="24">
        <f>ROUND(IF(AQ202="2",BH202,0),2)</f>
        <v>0</v>
      </c>
      <c r="AG202" s="24">
        <f>ROUND(IF(AQ202="2",BI202,0),2)</f>
        <v>0</v>
      </c>
      <c r="AH202" s="24">
        <f>ROUND(IF(AQ202="0",BJ202,0),2)</f>
        <v>0</v>
      </c>
      <c r="AI202" s="10" t="s">
        <v>51</v>
      </c>
      <c r="AJ202" s="24">
        <f>IF(AN202=0,J202,0)</f>
        <v>0</v>
      </c>
      <c r="AK202" s="24">
        <f>IF(AN202=12,J202,0)</f>
        <v>0</v>
      </c>
      <c r="AL202" s="24">
        <f>IF(AN202=21,J202,0)</f>
        <v>0</v>
      </c>
      <c r="AN202" s="24">
        <v>21</v>
      </c>
      <c r="AO202" s="24">
        <f>G202*0</f>
        <v>0</v>
      </c>
      <c r="AP202" s="24">
        <f>G202*(1-0)</f>
        <v>0</v>
      </c>
      <c r="AQ202" s="26" t="s">
        <v>64</v>
      </c>
      <c r="AV202" s="24">
        <f>ROUND(AW202+AX202,2)</f>
        <v>0</v>
      </c>
      <c r="AW202" s="24">
        <f>ROUND(F202*AO202,2)</f>
        <v>0</v>
      </c>
      <c r="AX202" s="24">
        <f>ROUND(F202*AP202,2)</f>
        <v>0</v>
      </c>
      <c r="AY202" s="26" t="s">
        <v>353</v>
      </c>
      <c r="AZ202" s="26" t="s">
        <v>313</v>
      </c>
      <c r="BA202" s="10" t="s">
        <v>61</v>
      </c>
      <c r="BC202" s="24">
        <f>AW202+AX202</f>
        <v>0</v>
      </c>
      <c r="BD202" s="24">
        <f>G202/(100-BE202)*100</f>
        <v>0</v>
      </c>
      <c r="BE202" s="24">
        <v>0</v>
      </c>
      <c r="BF202" s="24">
        <f>202</f>
        <v>202</v>
      </c>
      <c r="BH202" s="24">
        <f>F202*AO202</f>
        <v>0</v>
      </c>
      <c r="BI202" s="24">
        <f>F202*AP202</f>
        <v>0</v>
      </c>
      <c r="BJ202" s="24">
        <f>F202*G202</f>
        <v>0</v>
      </c>
      <c r="BK202" s="24"/>
      <c r="BL202" s="24"/>
      <c r="BW202" s="24">
        <v>21</v>
      </c>
      <c r="BX202" s="4" t="s">
        <v>398</v>
      </c>
    </row>
    <row r="203" spans="1:76" x14ac:dyDescent="0.25">
      <c r="A203" s="27"/>
      <c r="C203" s="28" t="s">
        <v>124</v>
      </c>
      <c r="D203" s="28" t="s">
        <v>51</v>
      </c>
      <c r="F203" s="29">
        <v>10</v>
      </c>
      <c r="K203" s="30"/>
    </row>
    <row r="204" spans="1:76" x14ac:dyDescent="0.25">
      <c r="A204" s="2" t="s">
        <v>400</v>
      </c>
      <c r="B204" s="3" t="s">
        <v>401</v>
      </c>
      <c r="C204" s="75" t="s">
        <v>402</v>
      </c>
      <c r="D204" s="70"/>
      <c r="E204" s="3" t="s">
        <v>57</v>
      </c>
      <c r="F204" s="24">
        <v>1</v>
      </c>
      <c r="G204" s="24">
        <v>0</v>
      </c>
      <c r="H204" s="24">
        <f>ROUND(F204*AO204,2)</f>
        <v>0</v>
      </c>
      <c r="I204" s="24">
        <f>ROUND(F204*AP204,2)</f>
        <v>0</v>
      </c>
      <c r="J204" s="24">
        <f>ROUND(F204*G204,2)</f>
        <v>0</v>
      </c>
      <c r="K204" s="25" t="s">
        <v>58</v>
      </c>
      <c r="Z204" s="24">
        <f>ROUND(IF(AQ204="5",BJ204,0),2)</f>
        <v>0</v>
      </c>
      <c r="AB204" s="24">
        <f>ROUND(IF(AQ204="1",BH204,0),2)</f>
        <v>0</v>
      </c>
      <c r="AC204" s="24">
        <f>ROUND(IF(AQ204="1",BI204,0),2)</f>
        <v>0</v>
      </c>
      <c r="AD204" s="24">
        <f>ROUND(IF(AQ204="7",BH204,0),2)</f>
        <v>0</v>
      </c>
      <c r="AE204" s="24">
        <f>ROUND(IF(AQ204="7",BI204,0),2)</f>
        <v>0</v>
      </c>
      <c r="AF204" s="24">
        <f>ROUND(IF(AQ204="2",BH204,0),2)</f>
        <v>0</v>
      </c>
      <c r="AG204" s="24">
        <f>ROUND(IF(AQ204="2",BI204,0),2)</f>
        <v>0</v>
      </c>
      <c r="AH204" s="24">
        <f>ROUND(IF(AQ204="0",BJ204,0),2)</f>
        <v>0</v>
      </c>
      <c r="AI204" s="10" t="s">
        <v>51</v>
      </c>
      <c r="AJ204" s="24">
        <f>IF(AN204=0,J204,0)</f>
        <v>0</v>
      </c>
      <c r="AK204" s="24">
        <f>IF(AN204=12,J204,0)</f>
        <v>0</v>
      </c>
      <c r="AL204" s="24">
        <f>IF(AN204=21,J204,0)</f>
        <v>0</v>
      </c>
      <c r="AN204" s="24">
        <v>21</v>
      </c>
      <c r="AO204" s="24">
        <f>G204*0.939932308</f>
        <v>0</v>
      </c>
      <c r="AP204" s="24">
        <f>G204*(1-0.939932308)</f>
        <v>0</v>
      </c>
      <c r="AQ204" s="26" t="s">
        <v>64</v>
      </c>
      <c r="AV204" s="24">
        <f>ROUND(AW204+AX204,2)</f>
        <v>0</v>
      </c>
      <c r="AW204" s="24">
        <f>ROUND(F204*AO204,2)</f>
        <v>0</v>
      </c>
      <c r="AX204" s="24">
        <f>ROUND(F204*AP204,2)</f>
        <v>0</v>
      </c>
      <c r="AY204" s="26" t="s">
        <v>353</v>
      </c>
      <c r="AZ204" s="26" t="s">
        <v>313</v>
      </c>
      <c r="BA204" s="10" t="s">
        <v>61</v>
      </c>
      <c r="BC204" s="24">
        <f>AW204+AX204</f>
        <v>0</v>
      </c>
      <c r="BD204" s="24">
        <f>G204/(100-BE204)*100</f>
        <v>0</v>
      </c>
      <c r="BE204" s="24">
        <v>0</v>
      </c>
      <c r="BF204" s="24">
        <f>204</f>
        <v>204</v>
      </c>
      <c r="BH204" s="24">
        <f>F204*AO204</f>
        <v>0</v>
      </c>
      <c r="BI204" s="24">
        <f>F204*AP204</f>
        <v>0</v>
      </c>
      <c r="BJ204" s="24">
        <f>F204*G204</f>
        <v>0</v>
      </c>
      <c r="BK204" s="24"/>
      <c r="BL204" s="24"/>
      <c r="BW204" s="24">
        <v>21</v>
      </c>
      <c r="BX204" s="4" t="s">
        <v>402</v>
      </c>
    </row>
    <row r="205" spans="1:76" x14ac:dyDescent="0.25">
      <c r="A205" s="27"/>
      <c r="C205" s="28" t="s">
        <v>54</v>
      </c>
      <c r="D205" s="28" t="s">
        <v>51</v>
      </c>
      <c r="F205" s="29">
        <v>1</v>
      </c>
      <c r="K205" s="30"/>
    </row>
    <row r="206" spans="1:76" x14ac:dyDescent="0.25">
      <c r="A206" s="33" t="s">
        <v>51</v>
      </c>
      <c r="B206" s="34" t="s">
        <v>403</v>
      </c>
      <c r="C206" s="94" t="s">
        <v>404</v>
      </c>
      <c r="D206" s="95"/>
      <c r="E206" s="35" t="s">
        <v>4</v>
      </c>
      <c r="F206" s="35" t="s">
        <v>4</v>
      </c>
      <c r="G206" s="35" t="s">
        <v>4</v>
      </c>
      <c r="H206" s="1">
        <f>SUM(H207:H215)</f>
        <v>0</v>
      </c>
      <c r="I206" s="1">
        <f>SUM(I207:I215)</f>
        <v>0</v>
      </c>
      <c r="J206" s="1">
        <f>SUM(J207:J215)</f>
        <v>0</v>
      </c>
      <c r="K206" s="36" t="s">
        <v>51</v>
      </c>
      <c r="AI206" s="10" t="s">
        <v>51</v>
      </c>
      <c r="AS206" s="1">
        <f>SUM(AJ207:AJ215)</f>
        <v>0</v>
      </c>
      <c r="AT206" s="1">
        <f>SUM(AK207:AK215)</f>
        <v>0</v>
      </c>
      <c r="AU206" s="1">
        <f>SUM(AL207:AL215)</f>
        <v>0</v>
      </c>
    </row>
    <row r="207" spans="1:76" x14ac:dyDescent="0.25">
      <c r="A207" s="2" t="s">
        <v>405</v>
      </c>
      <c r="B207" s="3" t="s">
        <v>406</v>
      </c>
      <c r="C207" s="75" t="s">
        <v>407</v>
      </c>
      <c r="D207" s="70"/>
      <c r="E207" s="3" t="s">
        <v>169</v>
      </c>
      <c r="F207" s="24">
        <v>150</v>
      </c>
      <c r="G207" s="24">
        <v>0</v>
      </c>
      <c r="H207" s="24">
        <f>ROUND(F207*AO207,2)</f>
        <v>0</v>
      </c>
      <c r="I207" s="24">
        <f>ROUND(F207*AP207,2)</f>
        <v>0</v>
      </c>
      <c r="J207" s="24">
        <f>ROUND(F207*G207,2)</f>
        <v>0</v>
      </c>
      <c r="K207" s="25" t="s">
        <v>58</v>
      </c>
      <c r="Z207" s="24">
        <f>ROUND(IF(AQ207="5",BJ207,0),2)</f>
        <v>0</v>
      </c>
      <c r="AB207" s="24">
        <f>ROUND(IF(AQ207="1",BH207,0),2)</f>
        <v>0</v>
      </c>
      <c r="AC207" s="24">
        <f>ROUND(IF(AQ207="1",BI207,0),2)</f>
        <v>0</v>
      </c>
      <c r="AD207" s="24">
        <f>ROUND(IF(AQ207="7",BH207,0),2)</f>
        <v>0</v>
      </c>
      <c r="AE207" s="24">
        <f>ROUND(IF(AQ207="7",BI207,0),2)</f>
        <v>0</v>
      </c>
      <c r="AF207" s="24">
        <f>ROUND(IF(AQ207="2",BH207,0),2)</f>
        <v>0</v>
      </c>
      <c r="AG207" s="24">
        <f>ROUND(IF(AQ207="2",BI207,0),2)</f>
        <v>0</v>
      </c>
      <c r="AH207" s="24">
        <f>ROUND(IF(AQ207="0",BJ207,0),2)</f>
        <v>0</v>
      </c>
      <c r="AI207" s="10" t="s">
        <v>51</v>
      </c>
      <c r="AJ207" s="24">
        <f>IF(AN207=0,J207,0)</f>
        <v>0</v>
      </c>
      <c r="AK207" s="24">
        <f>IF(AN207=12,J207,0)</f>
        <v>0</v>
      </c>
      <c r="AL207" s="24">
        <f>IF(AN207=21,J207,0)</f>
        <v>0</v>
      </c>
      <c r="AN207" s="24">
        <v>21</v>
      </c>
      <c r="AO207" s="24">
        <f>G207*0</f>
        <v>0</v>
      </c>
      <c r="AP207" s="24">
        <f>G207*(1-0)</f>
        <v>0</v>
      </c>
      <c r="AQ207" s="26" t="s">
        <v>64</v>
      </c>
      <c r="AV207" s="24">
        <f>ROUND(AW207+AX207,2)</f>
        <v>0</v>
      </c>
      <c r="AW207" s="24">
        <f>ROUND(F207*AO207,2)</f>
        <v>0</v>
      </c>
      <c r="AX207" s="24">
        <f>ROUND(F207*AP207,2)</f>
        <v>0</v>
      </c>
      <c r="AY207" s="26" t="s">
        <v>408</v>
      </c>
      <c r="AZ207" s="26" t="s">
        <v>313</v>
      </c>
      <c r="BA207" s="10" t="s">
        <v>61</v>
      </c>
      <c r="BC207" s="24">
        <f>AW207+AX207</f>
        <v>0</v>
      </c>
      <c r="BD207" s="24">
        <f>G207/(100-BE207)*100</f>
        <v>0</v>
      </c>
      <c r="BE207" s="24">
        <v>0</v>
      </c>
      <c r="BF207" s="24">
        <f>207</f>
        <v>207</v>
      </c>
      <c r="BH207" s="24">
        <f>F207*AO207</f>
        <v>0</v>
      </c>
      <c r="BI207" s="24">
        <f>F207*AP207</f>
        <v>0</v>
      </c>
      <c r="BJ207" s="24">
        <f>F207*G207</f>
        <v>0</v>
      </c>
      <c r="BK207" s="24"/>
      <c r="BL207" s="24"/>
      <c r="BW207" s="24">
        <v>21</v>
      </c>
      <c r="BX207" s="4" t="s">
        <v>407</v>
      </c>
    </row>
    <row r="208" spans="1:76" x14ac:dyDescent="0.25">
      <c r="A208" s="27"/>
      <c r="C208" s="28" t="s">
        <v>254</v>
      </c>
      <c r="D208" s="28" t="s">
        <v>51</v>
      </c>
      <c r="F208" s="29">
        <v>150</v>
      </c>
      <c r="K208" s="30"/>
    </row>
    <row r="209" spans="1:76" x14ac:dyDescent="0.25">
      <c r="A209" s="2" t="s">
        <v>409</v>
      </c>
      <c r="B209" s="3" t="s">
        <v>410</v>
      </c>
      <c r="C209" s="75" t="s">
        <v>411</v>
      </c>
      <c r="D209" s="70"/>
      <c r="E209" s="3" t="s">
        <v>169</v>
      </c>
      <c r="F209" s="24">
        <v>150</v>
      </c>
      <c r="G209" s="24">
        <v>0</v>
      </c>
      <c r="H209" s="24">
        <f>ROUND(F209*AO209,2)</f>
        <v>0</v>
      </c>
      <c r="I209" s="24">
        <f>ROUND(F209*AP209,2)</f>
        <v>0</v>
      </c>
      <c r="J209" s="24">
        <f>ROUND(F209*G209,2)</f>
        <v>0</v>
      </c>
      <c r="K209" s="25" t="s">
        <v>58</v>
      </c>
      <c r="Z209" s="24">
        <f>ROUND(IF(AQ209="5",BJ209,0),2)</f>
        <v>0</v>
      </c>
      <c r="AB209" s="24">
        <f>ROUND(IF(AQ209="1",BH209,0),2)</f>
        <v>0</v>
      </c>
      <c r="AC209" s="24">
        <f>ROUND(IF(AQ209="1",BI209,0),2)</f>
        <v>0</v>
      </c>
      <c r="AD209" s="24">
        <f>ROUND(IF(AQ209="7",BH209,0),2)</f>
        <v>0</v>
      </c>
      <c r="AE209" s="24">
        <f>ROUND(IF(AQ209="7",BI209,0),2)</f>
        <v>0</v>
      </c>
      <c r="AF209" s="24">
        <f>ROUND(IF(AQ209="2",BH209,0),2)</f>
        <v>0</v>
      </c>
      <c r="AG209" s="24">
        <f>ROUND(IF(AQ209="2",BI209,0),2)</f>
        <v>0</v>
      </c>
      <c r="AH209" s="24">
        <f>ROUND(IF(AQ209="0",BJ209,0),2)</f>
        <v>0</v>
      </c>
      <c r="AI209" s="10" t="s">
        <v>51</v>
      </c>
      <c r="AJ209" s="24">
        <f>IF(AN209=0,J209,0)</f>
        <v>0</v>
      </c>
      <c r="AK209" s="24">
        <f>IF(AN209=12,J209,0)</f>
        <v>0</v>
      </c>
      <c r="AL209" s="24">
        <f>IF(AN209=21,J209,0)</f>
        <v>0</v>
      </c>
      <c r="AN209" s="24">
        <v>21</v>
      </c>
      <c r="AO209" s="24">
        <f>G209*0</f>
        <v>0</v>
      </c>
      <c r="AP209" s="24">
        <f>G209*(1-0)</f>
        <v>0</v>
      </c>
      <c r="AQ209" s="26" t="s">
        <v>64</v>
      </c>
      <c r="AV209" s="24">
        <f>ROUND(AW209+AX209,2)</f>
        <v>0</v>
      </c>
      <c r="AW209" s="24">
        <f>ROUND(F209*AO209,2)</f>
        <v>0</v>
      </c>
      <c r="AX209" s="24">
        <f>ROUND(F209*AP209,2)</f>
        <v>0</v>
      </c>
      <c r="AY209" s="26" t="s">
        <v>408</v>
      </c>
      <c r="AZ209" s="26" t="s">
        <v>313</v>
      </c>
      <c r="BA209" s="10" t="s">
        <v>61</v>
      </c>
      <c r="BC209" s="24">
        <f>AW209+AX209</f>
        <v>0</v>
      </c>
      <c r="BD209" s="24">
        <f>G209/(100-BE209)*100</f>
        <v>0</v>
      </c>
      <c r="BE209" s="24">
        <v>0</v>
      </c>
      <c r="BF209" s="24">
        <f>209</f>
        <v>209</v>
      </c>
      <c r="BH209" s="24">
        <f>F209*AO209</f>
        <v>0</v>
      </c>
      <c r="BI209" s="24">
        <f>F209*AP209</f>
        <v>0</v>
      </c>
      <c r="BJ209" s="24">
        <f>F209*G209</f>
        <v>0</v>
      </c>
      <c r="BK209" s="24"/>
      <c r="BL209" s="24"/>
      <c r="BW209" s="24">
        <v>21</v>
      </c>
      <c r="BX209" s="4" t="s">
        <v>411</v>
      </c>
    </row>
    <row r="210" spans="1:76" x14ac:dyDescent="0.25">
      <c r="A210" s="27"/>
      <c r="C210" s="28" t="s">
        <v>254</v>
      </c>
      <c r="D210" s="28" t="s">
        <v>51</v>
      </c>
      <c r="F210" s="29">
        <v>150</v>
      </c>
      <c r="K210" s="30"/>
    </row>
    <row r="211" spans="1:76" x14ac:dyDescent="0.25">
      <c r="A211" s="2" t="s">
        <v>412</v>
      </c>
      <c r="B211" s="3" t="s">
        <v>413</v>
      </c>
      <c r="C211" s="75" t="s">
        <v>414</v>
      </c>
      <c r="D211" s="70"/>
      <c r="E211" s="3" t="s">
        <v>169</v>
      </c>
      <c r="F211" s="24">
        <v>150</v>
      </c>
      <c r="G211" s="24">
        <v>0</v>
      </c>
      <c r="H211" s="24">
        <f>ROUND(F211*AO211,2)</f>
        <v>0</v>
      </c>
      <c r="I211" s="24">
        <f>ROUND(F211*AP211,2)</f>
        <v>0</v>
      </c>
      <c r="J211" s="24">
        <f>ROUND(F211*G211,2)</f>
        <v>0</v>
      </c>
      <c r="K211" s="25" t="s">
        <v>58</v>
      </c>
      <c r="Z211" s="24">
        <f>ROUND(IF(AQ211="5",BJ211,0),2)</f>
        <v>0</v>
      </c>
      <c r="AB211" s="24">
        <f>ROUND(IF(AQ211="1",BH211,0),2)</f>
        <v>0</v>
      </c>
      <c r="AC211" s="24">
        <f>ROUND(IF(AQ211="1",BI211,0),2)</f>
        <v>0</v>
      </c>
      <c r="AD211" s="24">
        <f>ROUND(IF(AQ211="7",BH211,0),2)</f>
        <v>0</v>
      </c>
      <c r="AE211" s="24">
        <f>ROUND(IF(AQ211="7",BI211,0),2)</f>
        <v>0</v>
      </c>
      <c r="AF211" s="24">
        <f>ROUND(IF(AQ211="2",BH211,0),2)</f>
        <v>0</v>
      </c>
      <c r="AG211" s="24">
        <f>ROUND(IF(AQ211="2",BI211,0),2)</f>
        <v>0</v>
      </c>
      <c r="AH211" s="24">
        <f>ROUND(IF(AQ211="0",BJ211,0),2)</f>
        <v>0</v>
      </c>
      <c r="AI211" s="10" t="s">
        <v>51</v>
      </c>
      <c r="AJ211" s="24">
        <f>IF(AN211=0,J211,0)</f>
        <v>0</v>
      </c>
      <c r="AK211" s="24">
        <f>IF(AN211=12,J211,0)</f>
        <v>0</v>
      </c>
      <c r="AL211" s="24">
        <f>IF(AN211=21,J211,0)</f>
        <v>0</v>
      </c>
      <c r="AN211" s="24">
        <v>21</v>
      </c>
      <c r="AO211" s="24">
        <f>G211*0.567567568</f>
        <v>0</v>
      </c>
      <c r="AP211" s="24">
        <f>G211*(1-0.567567568)</f>
        <v>0</v>
      </c>
      <c r="AQ211" s="26" t="s">
        <v>64</v>
      </c>
      <c r="AV211" s="24">
        <f>ROUND(AW211+AX211,2)</f>
        <v>0</v>
      </c>
      <c r="AW211" s="24">
        <f>ROUND(F211*AO211,2)</f>
        <v>0</v>
      </c>
      <c r="AX211" s="24">
        <f>ROUND(F211*AP211,2)</f>
        <v>0</v>
      </c>
      <c r="AY211" s="26" t="s">
        <v>408</v>
      </c>
      <c r="AZ211" s="26" t="s">
        <v>313</v>
      </c>
      <c r="BA211" s="10" t="s">
        <v>61</v>
      </c>
      <c r="BC211" s="24">
        <f>AW211+AX211</f>
        <v>0</v>
      </c>
      <c r="BD211" s="24">
        <f>G211/(100-BE211)*100</f>
        <v>0</v>
      </c>
      <c r="BE211" s="24">
        <v>0</v>
      </c>
      <c r="BF211" s="24">
        <f>211</f>
        <v>211</v>
      </c>
      <c r="BH211" s="24">
        <f>F211*AO211</f>
        <v>0</v>
      </c>
      <c r="BI211" s="24">
        <f>F211*AP211</f>
        <v>0</v>
      </c>
      <c r="BJ211" s="24">
        <f>F211*G211</f>
        <v>0</v>
      </c>
      <c r="BK211" s="24"/>
      <c r="BL211" s="24"/>
      <c r="BW211" s="24">
        <v>21</v>
      </c>
      <c r="BX211" s="4" t="s">
        <v>414</v>
      </c>
    </row>
    <row r="212" spans="1:76" x14ac:dyDescent="0.25">
      <c r="A212" s="27"/>
      <c r="C212" s="28" t="s">
        <v>254</v>
      </c>
      <c r="D212" s="28" t="s">
        <v>51</v>
      </c>
      <c r="F212" s="29">
        <v>150</v>
      </c>
      <c r="K212" s="30"/>
    </row>
    <row r="213" spans="1:76" x14ac:dyDescent="0.25">
      <c r="A213" s="2" t="s">
        <v>415</v>
      </c>
      <c r="B213" s="3" t="s">
        <v>416</v>
      </c>
      <c r="C213" s="75" t="s">
        <v>417</v>
      </c>
      <c r="D213" s="70"/>
      <c r="E213" s="3" t="s">
        <v>169</v>
      </c>
      <c r="F213" s="24">
        <v>150</v>
      </c>
      <c r="G213" s="24">
        <v>0</v>
      </c>
      <c r="H213" s="24">
        <f>ROUND(F213*AO213,2)</f>
        <v>0</v>
      </c>
      <c r="I213" s="24">
        <f>ROUND(F213*AP213,2)</f>
        <v>0</v>
      </c>
      <c r="J213" s="24">
        <f>ROUND(F213*G213,2)</f>
        <v>0</v>
      </c>
      <c r="K213" s="25" t="s">
        <v>58</v>
      </c>
      <c r="Z213" s="24">
        <f>ROUND(IF(AQ213="5",BJ213,0),2)</f>
        <v>0</v>
      </c>
      <c r="AB213" s="24">
        <f>ROUND(IF(AQ213="1",BH213,0),2)</f>
        <v>0</v>
      </c>
      <c r="AC213" s="24">
        <f>ROUND(IF(AQ213="1",BI213,0),2)</f>
        <v>0</v>
      </c>
      <c r="AD213" s="24">
        <f>ROUND(IF(AQ213="7",BH213,0),2)</f>
        <v>0</v>
      </c>
      <c r="AE213" s="24">
        <f>ROUND(IF(AQ213="7",BI213,0),2)</f>
        <v>0</v>
      </c>
      <c r="AF213" s="24">
        <f>ROUND(IF(AQ213="2",BH213,0),2)</f>
        <v>0</v>
      </c>
      <c r="AG213" s="24">
        <f>ROUND(IF(AQ213="2",BI213,0),2)</f>
        <v>0</v>
      </c>
      <c r="AH213" s="24">
        <f>ROUND(IF(AQ213="0",BJ213,0),2)</f>
        <v>0</v>
      </c>
      <c r="AI213" s="10" t="s">
        <v>51</v>
      </c>
      <c r="AJ213" s="24">
        <f>IF(AN213=0,J213,0)</f>
        <v>0</v>
      </c>
      <c r="AK213" s="24">
        <f>IF(AN213=12,J213,0)</f>
        <v>0</v>
      </c>
      <c r="AL213" s="24">
        <f>IF(AN213=21,J213,0)</f>
        <v>0</v>
      </c>
      <c r="AN213" s="24">
        <v>21</v>
      </c>
      <c r="AO213" s="24">
        <f>G213*0.432342007</f>
        <v>0</v>
      </c>
      <c r="AP213" s="24">
        <f>G213*(1-0.432342007)</f>
        <v>0</v>
      </c>
      <c r="AQ213" s="26" t="s">
        <v>64</v>
      </c>
      <c r="AV213" s="24">
        <f>ROUND(AW213+AX213,2)</f>
        <v>0</v>
      </c>
      <c r="AW213" s="24">
        <f>ROUND(F213*AO213,2)</f>
        <v>0</v>
      </c>
      <c r="AX213" s="24">
        <f>ROUND(F213*AP213,2)</f>
        <v>0</v>
      </c>
      <c r="AY213" s="26" t="s">
        <v>408</v>
      </c>
      <c r="AZ213" s="26" t="s">
        <v>313</v>
      </c>
      <c r="BA213" s="10" t="s">
        <v>61</v>
      </c>
      <c r="BC213" s="24">
        <f>AW213+AX213</f>
        <v>0</v>
      </c>
      <c r="BD213" s="24">
        <f>G213/(100-BE213)*100</f>
        <v>0</v>
      </c>
      <c r="BE213" s="24">
        <v>0</v>
      </c>
      <c r="BF213" s="24">
        <f>213</f>
        <v>213</v>
      </c>
      <c r="BH213" s="24">
        <f>F213*AO213</f>
        <v>0</v>
      </c>
      <c r="BI213" s="24">
        <f>F213*AP213</f>
        <v>0</v>
      </c>
      <c r="BJ213" s="24">
        <f>F213*G213</f>
        <v>0</v>
      </c>
      <c r="BK213" s="24"/>
      <c r="BL213" s="24"/>
      <c r="BW213" s="24">
        <v>21</v>
      </c>
      <c r="BX213" s="4" t="s">
        <v>417</v>
      </c>
    </row>
    <row r="214" spans="1:76" x14ac:dyDescent="0.25">
      <c r="A214" s="27"/>
      <c r="C214" s="28" t="s">
        <v>254</v>
      </c>
      <c r="D214" s="28" t="s">
        <v>51</v>
      </c>
      <c r="F214" s="29">
        <v>150</v>
      </c>
      <c r="K214" s="30"/>
    </row>
    <row r="215" spans="1:76" x14ac:dyDescent="0.25">
      <c r="A215" s="2" t="s">
        <v>418</v>
      </c>
      <c r="B215" s="3" t="s">
        <v>419</v>
      </c>
      <c r="C215" s="75" t="s">
        <v>420</v>
      </c>
      <c r="D215" s="70"/>
      <c r="E215" s="3" t="s">
        <v>156</v>
      </c>
      <c r="F215" s="24">
        <v>52.5</v>
      </c>
      <c r="G215" s="24">
        <v>0</v>
      </c>
      <c r="H215" s="24">
        <f>ROUND(F215*AO215,2)</f>
        <v>0</v>
      </c>
      <c r="I215" s="24">
        <f>ROUND(F215*AP215,2)</f>
        <v>0</v>
      </c>
      <c r="J215" s="24">
        <f>ROUND(F215*G215,2)</f>
        <v>0</v>
      </c>
      <c r="K215" s="25" t="s">
        <v>58</v>
      </c>
      <c r="Z215" s="24">
        <f>ROUND(IF(AQ215="5",BJ215,0),2)</f>
        <v>0</v>
      </c>
      <c r="AB215" s="24">
        <f>ROUND(IF(AQ215="1",BH215,0),2)</f>
        <v>0</v>
      </c>
      <c r="AC215" s="24">
        <f>ROUND(IF(AQ215="1",BI215,0),2)</f>
        <v>0</v>
      </c>
      <c r="AD215" s="24">
        <f>ROUND(IF(AQ215="7",BH215,0),2)</f>
        <v>0</v>
      </c>
      <c r="AE215" s="24">
        <f>ROUND(IF(AQ215="7",BI215,0),2)</f>
        <v>0</v>
      </c>
      <c r="AF215" s="24">
        <f>ROUND(IF(AQ215="2",BH215,0),2)</f>
        <v>0</v>
      </c>
      <c r="AG215" s="24">
        <f>ROUND(IF(AQ215="2",BI215,0),2)</f>
        <v>0</v>
      </c>
      <c r="AH215" s="24">
        <f>ROUND(IF(AQ215="0",BJ215,0),2)</f>
        <v>0</v>
      </c>
      <c r="AI215" s="10" t="s">
        <v>51</v>
      </c>
      <c r="AJ215" s="24">
        <f>IF(AN215=0,J215,0)</f>
        <v>0</v>
      </c>
      <c r="AK215" s="24">
        <f>IF(AN215=12,J215,0)</f>
        <v>0</v>
      </c>
      <c r="AL215" s="24">
        <f>IF(AN215=21,J215,0)</f>
        <v>0</v>
      </c>
      <c r="AN215" s="24">
        <v>21</v>
      </c>
      <c r="AO215" s="24">
        <f>G215*0.010365368</f>
        <v>0</v>
      </c>
      <c r="AP215" s="24">
        <f>G215*(1-0.010365368)</f>
        <v>0</v>
      </c>
      <c r="AQ215" s="26" t="s">
        <v>54</v>
      </c>
      <c r="AV215" s="24">
        <f>ROUND(AW215+AX215,2)</f>
        <v>0</v>
      </c>
      <c r="AW215" s="24">
        <f>ROUND(F215*AO215,2)</f>
        <v>0</v>
      </c>
      <c r="AX215" s="24">
        <f>ROUND(F215*AP215,2)</f>
        <v>0</v>
      </c>
      <c r="AY215" s="26" t="s">
        <v>408</v>
      </c>
      <c r="AZ215" s="26" t="s">
        <v>313</v>
      </c>
      <c r="BA215" s="10" t="s">
        <v>61</v>
      </c>
      <c r="BC215" s="24">
        <f>AW215+AX215</f>
        <v>0</v>
      </c>
      <c r="BD215" s="24">
        <f>G215/(100-BE215)*100</f>
        <v>0</v>
      </c>
      <c r="BE215" s="24">
        <v>0</v>
      </c>
      <c r="BF215" s="24">
        <f>215</f>
        <v>215</v>
      </c>
      <c r="BH215" s="24">
        <f>F215*AO215</f>
        <v>0</v>
      </c>
      <c r="BI215" s="24">
        <f>F215*AP215</f>
        <v>0</v>
      </c>
      <c r="BJ215" s="24">
        <f>F215*G215</f>
        <v>0</v>
      </c>
      <c r="BK215" s="24"/>
      <c r="BL215" s="24"/>
      <c r="BW215" s="24">
        <v>21</v>
      </c>
      <c r="BX215" s="4" t="s">
        <v>420</v>
      </c>
    </row>
    <row r="216" spans="1:76" x14ac:dyDescent="0.25">
      <c r="A216" s="27"/>
      <c r="C216" s="28" t="s">
        <v>421</v>
      </c>
      <c r="D216" s="28" t="s">
        <v>51</v>
      </c>
      <c r="F216" s="29">
        <v>52.5</v>
      </c>
      <c r="K216" s="30"/>
    </row>
    <row r="217" spans="1:76" x14ac:dyDescent="0.25">
      <c r="A217" s="33" t="s">
        <v>51</v>
      </c>
      <c r="B217" s="34" t="s">
        <v>422</v>
      </c>
      <c r="C217" s="94" t="s">
        <v>423</v>
      </c>
      <c r="D217" s="95"/>
      <c r="E217" s="35" t="s">
        <v>4</v>
      </c>
      <c r="F217" s="35" t="s">
        <v>4</v>
      </c>
      <c r="G217" s="35" t="s">
        <v>4</v>
      </c>
      <c r="H217" s="1">
        <f>H218+H222+H225</f>
        <v>0</v>
      </c>
      <c r="I217" s="1">
        <f>I218+I222+I225</f>
        <v>0</v>
      </c>
      <c r="J217" s="1">
        <f>J218+J222+J225</f>
        <v>0</v>
      </c>
      <c r="K217" s="36" t="s">
        <v>51</v>
      </c>
      <c r="AI217" s="10" t="s">
        <v>51</v>
      </c>
    </row>
    <row r="218" spans="1:76" x14ac:dyDescent="0.25">
      <c r="A218" s="33" t="s">
        <v>51</v>
      </c>
      <c r="B218" s="34" t="s">
        <v>424</v>
      </c>
      <c r="C218" s="94" t="s">
        <v>425</v>
      </c>
      <c r="D218" s="95"/>
      <c r="E218" s="35" t="s">
        <v>4</v>
      </c>
      <c r="F218" s="35" t="s">
        <v>4</v>
      </c>
      <c r="G218" s="35" t="s">
        <v>4</v>
      </c>
      <c r="H218" s="1">
        <f>SUM(H219:H219)</f>
        <v>0</v>
      </c>
      <c r="I218" s="1">
        <f>SUM(I219:I219)</f>
        <v>0</v>
      </c>
      <c r="J218" s="1">
        <f>SUM(J219:J219)</f>
        <v>0</v>
      </c>
      <c r="K218" s="36" t="s">
        <v>51</v>
      </c>
      <c r="AI218" s="10" t="s">
        <v>51</v>
      </c>
      <c r="AS218" s="1">
        <f>SUM(AJ219:AJ219)</f>
        <v>0</v>
      </c>
      <c r="AT218" s="1">
        <f>SUM(AK219:AK219)</f>
        <v>0</v>
      </c>
      <c r="AU218" s="1">
        <f>SUM(AL219:AL219)</f>
        <v>0</v>
      </c>
    </row>
    <row r="219" spans="1:76" x14ac:dyDescent="0.25">
      <c r="A219" s="2" t="s">
        <v>426</v>
      </c>
      <c r="B219" s="3" t="s">
        <v>427</v>
      </c>
      <c r="C219" s="75" t="s">
        <v>428</v>
      </c>
      <c r="D219" s="70"/>
      <c r="E219" s="3" t="s">
        <v>389</v>
      </c>
      <c r="F219" s="24">
        <v>1</v>
      </c>
      <c r="G219" s="24">
        <v>0</v>
      </c>
      <c r="H219" s="24">
        <f>ROUND(F219*AO219,2)</f>
        <v>0</v>
      </c>
      <c r="I219" s="24">
        <f>ROUND(F219*AP219,2)</f>
        <v>0</v>
      </c>
      <c r="J219" s="24">
        <f>ROUND(F219*G219,2)</f>
        <v>0</v>
      </c>
      <c r="K219" s="25" t="s">
        <v>51</v>
      </c>
      <c r="Z219" s="24">
        <f>ROUND(IF(AQ219="5",BJ219,0),2)</f>
        <v>0</v>
      </c>
      <c r="AB219" s="24">
        <f>ROUND(IF(AQ219="1",BH219,0),2)</f>
        <v>0</v>
      </c>
      <c r="AC219" s="24">
        <f>ROUND(IF(AQ219="1",BI219,0),2)</f>
        <v>0</v>
      </c>
      <c r="AD219" s="24">
        <f>ROUND(IF(AQ219="7",BH219,0),2)</f>
        <v>0</v>
      </c>
      <c r="AE219" s="24">
        <f>ROUND(IF(AQ219="7",BI219,0),2)</f>
        <v>0</v>
      </c>
      <c r="AF219" s="24">
        <f>ROUND(IF(AQ219="2",BH219,0),2)</f>
        <v>0</v>
      </c>
      <c r="AG219" s="24">
        <f>ROUND(IF(AQ219="2",BI219,0),2)</f>
        <v>0</v>
      </c>
      <c r="AH219" s="24">
        <f>ROUND(IF(AQ219="0",BJ219,0),2)</f>
        <v>0</v>
      </c>
      <c r="AI219" s="10" t="s">
        <v>51</v>
      </c>
      <c r="AJ219" s="24">
        <f>IF(AN219=0,J219,0)</f>
        <v>0</v>
      </c>
      <c r="AK219" s="24">
        <f>IF(AN219=12,J219,0)</f>
        <v>0</v>
      </c>
      <c r="AL219" s="24">
        <f>IF(AN219=21,J219,0)</f>
        <v>0</v>
      </c>
      <c r="AN219" s="24">
        <v>21</v>
      </c>
      <c r="AO219" s="24">
        <f>G219*0</f>
        <v>0</v>
      </c>
      <c r="AP219" s="24">
        <f>G219*(1-0)</f>
        <v>0</v>
      </c>
      <c r="AQ219" s="26" t="s">
        <v>429</v>
      </c>
      <c r="AV219" s="24">
        <f>ROUND(AW219+AX219,2)</f>
        <v>0</v>
      </c>
      <c r="AW219" s="24">
        <f>ROUND(F219*AO219,2)</f>
        <v>0</v>
      </c>
      <c r="AX219" s="24">
        <f>ROUND(F219*AP219,2)</f>
        <v>0</v>
      </c>
      <c r="AY219" s="26" t="s">
        <v>430</v>
      </c>
      <c r="AZ219" s="26" t="s">
        <v>431</v>
      </c>
      <c r="BA219" s="10" t="s">
        <v>61</v>
      </c>
      <c r="BC219" s="24">
        <f>AW219+AX219</f>
        <v>0</v>
      </c>
      <c r="BD219" s="24">
        <f>G219/(100-BE219)*100</f>
        <v>0</v>
      </c>
      <c r="BE219" s="24">
        <v>0</v>
      </c>
      <c r="BF219" s="24">
        <f>219</f>
        <v>219</v>
      </c>
      <c r="BH219" s="24">
        <f>F219*AO219</f>
        <v>0</v>
      </c>
      <c r="BI219" s="24">
        <f>F219*AP219</f>
        <v>0</v>
      </c>
      <c r="BJ219" s="24">
        <f>F219*G219</f>
        <v>0</v>
      </c>
      <c r="BK219" s="24"/>
      <c r="BL219" s="24"/>
      <c r="BM219" s="24">
        <f>F219*G219</f>
        <v>0</v>
      </c>
      <c r="BW219" s="24">
        <v>21</v>
      </c>
      <c r="BX219" s="4" t="s">
        <v>428</v>
      </c>
    </row>
    <row r="220" spans="1:76" x14ac:dyDescent="0.25">
      <c r="A220" s="27"/>
      <c r="C220" s="28" t="s">
        <v>54</v>
      </c>
      <c r="D220" s="28" t="s">
        <v>51</v>
      </c>
      <c r="F220" s="29">
        <v>1</v>
      </c>
      <c r="K220" s="30"/>
    </row>
    <row r="221" spans="1:76" ht="25.5" x14ac:dyDescent="0.25">
      <c r="A221" s="27"/>
      <c r="B221" s="31" t="s">
        <v>62</v>
      </c>
      <c r="C221" s="91" t="s">
        <v>432</v>
      </c>
      <c r="D221" s="92"/>
      <c r="E221" s="92"/>
      <c r="F221" s="92"/>
      <c r="G221" s="92"/>
      <c r="H221" s="92"/>
      <c r="I221" s="92"/>
      <c r="J221" s="92"/>
      <c r="K221" s="93"/>
      <c r="BX221" s="32" t="s">
        <v>432</v>
      </c>
    </row>
    <row r="222" spans="1:76" x14ac:dyDescent="0.25">
      <c r="A222" s="33" t="s">
        <v>51</v>
      </c>
      <c r="B222" s="34" t="s">
        <v>433</v>
      </c>
      <c r="C222" s="94" t="s">
        <v>434</v>
      </c>
      <c r="D222" s="95"/>
      <c r="E222" s="35" t="s">
        <v>4</v>
      </c>
      <c r="F222" s="35" t="s">
        <v>4</v>
      </c>
      <c r="G222" s="35" t="s">
        <v>4</v>
      </c>
      <c r="H222" s="1">
        <f>SUM(H223:H223)</f>
        <v>0</v>
      </c>
      <c r="I222" s="1">
        <f>SUM(I223:I223)</f>
        <v>0</v>
      </c>
      <c r="J222" s="1">
        <f>SUM(J223:J223)</f>
        <v>0</v>
      </c>
      <c r="K222" s="36" t="s">
        <v>51</v>
      </c>
      <c r="AI222" s="10" t="s">
        <v>51</v>
      </c>
      <c r="AS222" s="1">
        <f>SUM(AJ223:AJ223)</f>
        <v>0</v>
      </c>
      <c r="AT222" s="1">
        <f>SUM(AK223:AK223)</f>
        <v>0</v>
      </c>
      <c r="AU222" s="1">
        <f>SUM(AL223:AL223)</f>
        <v>0</v>
      </c>
    </row>
    <row r="223" spans="1:76" x14ac:dyDescent="0.25">
      <c r="A223" s="2" t="s">
        <v>435</v>
      </c>
      <c r="B223" s="3" t="s">
        <v>436</v>
      </c>
      <c r="C223" s="75" t="s">
        <v>437</v>
      </c>
      <c r="D223" s="70"/>
      <c r="E223" s="3" t="s">
        <v>389</v>
      </c>
      <c r="F223" s="24">
        <v>1</v>
      </c>
      <c r="G223" s="24">
        <v>0</v>
      </c>
      <c r="H223" s="24">
        <f>ROUND(F223*AO223,2)</f>
        <v>0</v>
      </c>
      <c r="I223" s="24">
        <f>ROUND(F223*AP223,2)</f>
        <v>0</v>
      </c>
      <c r="J223" s="24">
        <f>ROUND(F223*G223,2)</f>
        <v>0</v>
      </c>
      <c r="K223" s="25" t="s">
        <v>51</v>
      </c>
      <c r="Z223" s="24">
        <f>ROUND(IF(AQ223="5",BJ223,0),2)</f>
        <v>0</v>
      </c>
      <c r="AB223" s="24">
        <f>ROUND(IF(AQ223="1",BH223,0),2)</f>
        <v>0</v>
      </c>
      <c r="AC223" s="24">
        <f>ROUND(IF(AQ223="1",BI223,0),2)</f>
        <v>0</v>
      </c>
      <c r="AD223" s="24">
        <f>ROUND(IF(AQ223="7",BH223,0),2)</f>
        <v>0</v>
      </c>
      <c r="AE223" s="24">
        <f>ROUND(IF(AQ223="7",BI223,0),2)</f>
        <v>0</v>
      </c>
      <c r="AF223" s="24">
        <f>ROUND(IF(AQ223="2",BH223,0),2)</f>
        <v>0</v>
      </c>
      <c r="AG223" s="24">
        <f>ROUND(IF(AQ223="2",BI223,0),2)</f>
        <v>0</v>
      </c>
      <c r="AH223" s="24">
        <f>ROUND(IF(AQ223="0",BJ223,0),2)</f>
        <v>0</v>
      </c>
      <c r="AI223" s="10" t="s">
        <v>51</v>
      </c>
      <c r="AJ223" s="24">
        <f>IF(AN223=0,J223,0)</f>
        <v>0</v>
      </c>
      <c r="AK223" s="24">
        <f>IF(AN223=12,J223,0)</f>
        <v>0</v>
      </c>
      <c r="AL223" s="24">
        <f>IF(AN223=21,J223,0)</f>
        <v>0</v>
      </c>
      <c r="AN223" s="24">
        <v>21</v>
      </c>
      <c r="AO223" s="24">
        <f>G223*0</f>
        <v>0</v>
      </c>
      <c r="AP223" s="24">
        <f>G223*(1-0)</f>
        <v>0</v>
      </c>
      <c r="AQ223" s="26" t="s">
        <v>429</v>
      </c>
      <c r="AV223" s="24">
        <f>ROUND(AW223+AX223,2)</f>
        <v>0</v>
      </c>
      <c r="AW223" s="24">
        <f>ROUND(F223*AO223,2)</f>
        <v>0</v>
      </c>
      <c r="AX223" s="24">
        <f>ROUND(F223*AP223,2)</f>
        <v>0</v>
      </c>
      <c r="AY223" s="26" t="s">
        <v>438</v>
      </c>
      <c r="AZ223" s="26" t="s">
        <v>431</v>
      </c>
      <c r="BA223" s="10" t="s">
        <v>61</v>
      </c>
      <c r="BC223" s="24">
        <f>AW223+AX223</f>
        <v>0</v>
      </c>
      <c r="BD223" s="24">
        <f>G223/(100-BE223)*100</f>
        <v>0</v>
      </c>
      <c r="BE223" s="24">
        <v>0</v>
      </c>
      <c r="BF223" s="24">
        <f>223</f>
        <v>223</v>
      </c>
      <c r="BH223" s="24">
        <f>F223*AO223</f>
        <v>0</v>
      </c>
      <c r="BI223" s="24">
        <f>F223*AP223</f>
        <v>0</v>
      </c>
      <c r="BJ223" s="24">
        <f>F223*G223</f>
        <v>0</v>
      </c>
      <c r="BK223" s="24"/>
      <c r="BL223" s="24"/>
      <c r="BN223" s="24">
        <f>F223*G223</f>
        <v>0</v>
      </c>
      <c r="BW223" s="24">
        <v>21</v>
      </c>
      <c r="BX223" s="4" t="s">
        <v>437</v>
      </c>
    </row>
    <row r="224" spans="1:76" x14ac:dyDescent="0.25">
      <c r="A224" s="27"/>
      <c r="C224" s="28" t="s">
        <v>54</v>
      </c>
      <c r="D224" s="28" t="s">
        <v>51</v>
      </c>
      <c r="F224" s="29">
        <v>1</v>
      </c>
      <c r="K224" s="30"/>
    </row>
    <row r="225" spans="1:76" x14ac:dyDescent="0.25">
      <c r="A225" s="33" t="s">
        <v>51</v>
      </c>
      <c r="B225" s="34" t="s">
        <v>439</v>
      </c>
      <c r="C225" s="94" t="s">
        <v>440</v>
      </c>
      <c r="D225" s="95"/>
      <c r="E225" s="35" t="s">
        <v>4</v>
      </c>
      <c r="F225" s="35" t="s">
        <v>4</v>
      </c>
      <c r="G225" s="35" t="s">
        <v>4</v>
      </c>
      <c r="H225" s="1">
        <f>SUM(H226:H226)</f>
        <v>0</v>
      </c>
      <c r="I225" s="1">
        <f>SUM(I226:I226)</f>
        <v>0</v>
      </c>
      <c r="J225" s="1">
        <f>SUM(J226:J226)</f>
        <v>0</v>
      </c>
      <c r="K225" s="36" t="s">
        <v>51</v>
      </c>
      <c r="AI225" s="10" t="s">
        <v>51</v>
      </c>
      <c r="AS225" s="1">
        <f>SUM(AJ226:AJ226)</f>
        <v>0</v>
      </c>
      <c r="AT225" s="1">
        <f>SUM(AK226:AK226)</f>
        <v>0</v>
      </c>
      <c r="AU225" s="1">
        <f>SUM(AL226:AL226)</f>
        <v>0</v>
      </c>
    </row>
    <row r="226" spans="1:76" x14ac:dyDescent="0.25">
      <c r="A226" s="2" t="s">
        <v>441</v>
      </c>
      <c r="B226" s="3" t="s">
        <v>442</v>
      </c>
      <c r="C226" s="75" t="s">
        <v>440</v>
      </c>
      <c r="D226" s="70"/>
      <c r="E226" s="3" t="s">
        <v>288</v>
      </c>
      <c r="F226" s="24">
        <v>1</v>
      </c>
      <c r="G226" s="24">
        <v>0</v>
      </c>
      <c r="H226" s="24">
        <f>ROUND(F226*AO226,2)</f>
        <v>0</v>
      </c>
      <c r="I226" s="24">
        <f>ROUND(F226*AP226,2)</f>
        <v>0</v>
      </c>
      <c r="J226" s="24">
        <f>ROUND(F226*G226,2)</f>
        <v>0</v>
      </c>
      <c r="K226" s="25" t="s">
        <v>51</v>
      </c>
      <c r="Z226" s="24">
        <f>ROUND(IF(AQ226="5",BJ226,0),2)</f>
        <v>0</v>
      </c>
      <c r="AB226" s="24">
        <f>ROUND(IF(AQ226="1",BH226,0),2)</f>
        <v>0</v>
      </c>
      <c r="AC226" s="24">
        <f>ROUND(IF(AQ226="1",BI226,0),2)</f>
        <v>0</v>
      </c>
      <c r="AD226" s="24">
        <f>ROUND(IF(AQ226="7",BH226,0),2)</f>
        <v>0</v>
      </c>
      <c r="AE226" s="24">
        <f>ROUND(IF(AQ226="7",BI226,0),2)</f>
        <v>0</v>
      </c>
      <c r="AF226" s="24">
        <f>ROUND(IF(AQ226="2",BH226,0),2)</f>
        <v>0</v>
      </c>
      <c r="AG226" s="24">
        <f>ROUND(IF(AQ226="2",BI226,0),2)</f>
        <v>0</v>
      </c>
      <c r="AH226" s="24">
        <f>ROUND(IF(AQ226="0",BJ226,0),2)</f>
        <v>0</v>
      </c>
      <c r="AI226" s="10" t="s">
        <v>51</v>
      </c>
      <c r="AJ226" s="24">
        <f>IF(AN226=0,J226,0)</f>
        <v>0</v>
      </c>
      <c r="AK226" s="24">
        <f>IF(AN226=12,J226,0)</f>
        <v>0</v>
      </c>
      <c r="AL226" s="24">
        <f>IF(AN226=21,J226,0)</f>
        <v>0</v>
      </c>
      <c r="AN226" s="24">
        <v>21</v>
      </c>
      <c r="AO226" s="24">
        <f>G226*0</f>
        <v>0</v>
      </c>
      <c r="AP226" s="24">
        <f>G226*(1-0)</f>
        <v>0</v>
      </c>
      <c r="AQ226" s="26" t="s">
        <v>429</v>
      </c>
      <c r="AV226" s="24">
        <f>ROUND(AW226+AX226,2)</f>
        <v>0</v>
      </c>
      <c r="AW226" s="24">
        <f>ROUND(F226*AO226,2)</f>
        <v>0</v>
      </c>
      <c r="AX226" s="24">
        <f>ROUND(F226*AP226,2)</f>
        <v>0</v>
      </c>
      <c r="AY226" s="26" t="s">
        <v>443</v>
      </c>
      <c r="AZ226" s="26" t="s">
        <v>431</v>
      </c>
      <c r="BA226" s="10" t="s">
        <v>61</v>
      </c>
      <c r="BC226" s="24">
        <f>AW226+AX226</f>
        <v>0</v>
      </c>
      <c r="BD226" s="24">
        <f>G226/(100-BE226)*100</f>
        <v>0</v>
      </c>
      <c r="BE226" s="24">
        <v>0</v>
      </c>
      <c r="BF226" s="24">
        <f>226</f>
        <v>226</v>
      </c>
      <c r="BH226" s="24">
        <f>F226*AO226</f>
        <v>0</v>
      </c>
      <c r="BI226" s="24">
        <f>F226*AP226</f>
        <v>0</v>
      </c>
      <c r="BJ226" s="24">
        <f>F226*G226</f>
        <v>0</v>
      </c>
      <c r="BK226" s="24"/>
      <c r="BL226" s="24"/>
      <c r="BO226" s="24">
        <f>F226*G226</f>
        <v>0</v>
      </c>
      <c r="BW226" s="24">
        <v>21</v>
      </c>
      <c r="BX226" s="4" t="s">
        <v>440</v>
      </c>
    </row>
    <row r="227" spans="1:76" x14ac:dyDescent="0.25">
      <c r="A227" s="37"/>
      <c r="B227" s="38"/>
      <c r="C227" s="39" t="s">
        <v>54</v>
      </c>
      <c r="D227" s="39" t="s">
        <v>51</v>
      </c>
      <c r="E227" s="38"/>
      <c r="F227" s="40">
        <v>1</v>
      </c>
      <c r="G227" s="38"/>
      <c r="H227" s="38"/>
      <c r="I227" s="38"/>
      <c r="J227" s="38"/>
      <c r="K227" s="41"/>
    </row>
    <row r="228" spans="1:76" x14ac:dyDescent="0.25">
      <c r="H228" s="96" t="s">
        <v>444</v>
      </c>
      <c r="I228" s="96"/>
      <c r="J228" s="42">
        <f>ROUND(J12+J19+J27+J50+J61+J65+J72+J90+J99+J104+J116+J122+J132+J135+J138+J148+J160+J172+J206+J218+J222+J225,2)</f>
        <v>0</v>
      </c>
    </row>
    <row r="229" spans="1:76" x14ac:dyDescent="0.25">
      <c r="A229" s="43" t="s">
        <v>445</v>
      </c>
    </row>
    <row r="230" spans="1:76" ht="12.75" customHeight="1" x14ac:dyDescent="0.25">
      <c r="A230" s="75" t="s">
        <v>51</v>
      </c>
      <c r="B230" s="70"/>
      <c r="C230" s="70"/>
      <c r="D230" s="70"/>
      <c r="E230" s="70"/>
      <c r="F230" s="70"/>
      <c r="G230" s="70"/>
      <c r="H230" s="70"/>
      <c r="I230" s="70"/>
      <c r="J230" s="70"/>
      <c r="K230" s="70"/>
    </row>
  </sheetData>
  <mergeCells count="155">
    <mergeCell ref="C225:D225"/>
    <mergeCell ref="C226:D226"/>
    <mergeCell ref="H228:I228"/>
    <mergeCell ref="A230:K230"/>
    <mergeCell ref="C218:D218"/>
    <mergeCell ref="C219:D219"/>
    <mergeCell ref="C221:K221"/>
    <mergeCell ref="C222:D222"/>
    <mergeCell ref="C223:D223"/>
    <mergeCell ref="C209:D209"/>
    <mergeCell ref="C211:D211"/>
    <mergeCell ref="C213:D213"/>
    <mergeCell ref="C215:D215"/>
    <mergeCell ref="C217:D217"/>
    <mergeCell ref="C200:D200"/>
    <mergeCell ref="C202:D202"/>
    <mergeCell ref="C204:D204"/>
    <mergeCell ref="C206:D206"/>
    <mergeCell ref="C207:D207"/>
    <mergeCell ref="C191:K191"/>
    <mergeCell ref="C192:D192"/>
    <mergeCell ref="C194:D194"/>
    <mergeCell ref="C196:D196"/>
    <mergeCell ref="C198:D198"/>
    <mergeCell ref="C181:D181"/>
    <mergeCell ref="C183:D183"/>
    <mergeCell ref="C185:D185"/>
    <mergeCell ref="C187:D187"/>
    <mergeCell ref="C189:D189"/>
    <mergeCell ref="C172:D172"/>
    <mergeCell ref="C173:D173"/>
    <mergeCell ref="C175:D175"/>
    <mergeCell ref="C177:D177"/>
    <mergeCell ref="C179:D179"/>
    <mergeCell ref="C164:D164"/>
    <mergeCell ref="C166:K166"/>
    <mergeCell ref="C167:D167"/>
    <mergeCell ref="C169:K169"/>
    <mergeCell ref="C170:D170"/>
    <mergeCell ref="C157:D157"/>
    <mergeCell ref="C159:K159"/>
    <mergeCell ref="C160:D160"/>
    <mergeCell ref="C161:D161"/>
    <mergeCell ref="C163:K163"/>
    <mergeCell ref="C148:D148"/>
    <mergeCell ref="C149:D149"/>
    <mergeCell ref="C152:K152"/>
    <mergeCell ref="C153:D153"/>
    <mergeCell ref="C155:D155"/>
    <mergeCell ref="C141:K141"/>
    <mergeCell ref="C142:D142"/>
    <mergeCell ref="C144:K144"/>
    <mergeCell ref="C145:D145"/>
    <mergeCell ref="C147:K147"/>
    <mergeCell ref="C133:D133"/>
    <mergeCell ref="C135:D135"/>
    <mergeCell ref="C136:D136"/>
    <mergeCell ref="C138:D138"/>
    <mergeCell ref="C139:D139"/>
    <mergeCell ref="C125:K125"/>
    <mergeCell ref="C126:D126"/>
    <mergeCell ref="C128:D128"/>
    <mergeCell ref="C130:D130"/>
    <mergeCell ref="C132:D132"/>
    <mergeCell ref="C117:D117"/>
    <mergeCell ref="C119:K119"/>
    <mergeCell ref="C120:D120"/>
    <mergeCell ref="C122:D122"/>
    <mergeCell ref="C123:D123"/>
    <mergeCell ref="C109:D109"/>
    <mergeCell ref="C111:K111"/>
    <mergeCell ref="C112:D112"/>
    <mergeCell ref="C114:D114"/>
    <mergeCell ref="C116:D116"/>
    <mergeCell ref="C99:D99"/>
    <mergeCell ref="C100:D100"/>
    <mergeCell ref="C104:D104"/>
    <mergeCell ref="C105:D105"/>
    <mergeCell ref="C107:D107"/>
    <mergeCell ref="C90:D90"/>
    <mergeCell ref="C91:D91"/>
    <mergeCell ref="C94:K94"/>
    <mergeCell ref="C95:D95"/>
    <mergeCell ref="C98:K98"/>
    <mergeCell ref="C83:K83"/>
    <mergeCell ref="C84:D84"/>
    <mergeCell ref="C86:K86"/>
    <mergeCell ref="C87:D87"/>
    <mergeCell ref="C89:K89"/>
    <mergeCell ref="C73:D73"/>
    <mergeCell ref="C75:K75"/>
    <mergeCell ref="C76:D76"/>
    <mergeCell ref="C80:K80"/>
    <mergeCell ref="C81:D81"/>
    <mergeCell ref="C65:D65"/>
    <mergeCell ref="C66:D66"/>
    <mergeCell ref="C69:D69"/>
    <mergeCell ref="C71:K71"/>
    <mergeCell ref="C72:D72"/>
    <mergeCell ref="C51:D51"/>
    <mergeCell ref="C58:D58"/>
    <mergeCell ref="C61:D61"/>
    <mergeCell ref="C62:D62"/>
    <mergeCell ref="C64:K64"/>
    <mergeCell ref="C44:D44"/>
    <mergeCell ref="C46:K46"/>
    <mergeCell ref="C47:D47"/>
    <mergeCell ref="C49:K49"/>
    <mergeCell ref="C50:D50"/>
    <mergeCell ref="C36:K36"/>
    <mergeCell ref="C37:D37"/>
    <mergeCell ref="C40:K40"/>
    <mergeCell ref="C41:D41"/>
    <mergeCell ref="C43:K43"/>
    <mergeCell ref="C26:K26"/>
    <mergeCell ref="C27:D27"/>
    <mergeCell ref="C28:D28"/>
    <mergeCell ref="C33:K33"/>
    <mergeCell ref="C34:D34"/>
    <mergeCell ref="C16:D16"/>
    <mergeCell ref="C18:K18"/>
    <mergeCell ref="C19:D19"/>
    <mergeCell ref="C20:D20"/>
    <mergeCell ref="C24:D24"/>
    <mergeCell ref="C11:D11"/>
    <mergeCell ref="H10:J10"/>
    <mergeCell ref="C12:D12"/>
    <mergeCell ref="C13:D13"/>
    <mergeCell ref="C15:K15"/>
    <mergeCell ref="I2:K3"/>
    <mergeCell ref="I4:K5"/>
    <mergeCell ref="I6:K7"/>
    <mergeCell ref="I8:K9"/>
    <mergeCell ref="C10:D10"/>
    <mergeCell ref="C8:D9"/>
    <mergeCell ref="G2:G3"/>
    <mergeCell ref="G4:G5"/>
    <mergeCell ref="G6:G7"/>
    <mergeCell ref="G8:G9"/>
    <mergeCell ref="A1:K1"/>
    <mergeCell ref="A2:B3"/>
    <mergeCell ref="A4:B5"/>
    <mergeCell ref="A6:B7"/>
    <mergeCell ref="A8:B9"/>
    <mergeCell ref="E2:F3"/>
    <mergeCell ref="E4:F5"/>
    <mergeCell ref="E6:F7"/>
    <mergeCell ref="E8:F9"/>
    <mergeCell ref="H2:H3"/>
    <mergeCell ref="H4:H5"/>
    <mergeCell ref="H6:H7"/>
    <mergeCell ref="H8:H9"/>
    <mergeCell ref="C2:D3"/>
    <mergeCell ref="C4:D5"/>
    <mergeCell ref="C6:D7"/>
  </mergeCells>
  <pageMargins left="0.393999993801117" right="0.393999993801117" top="0.59100002050399802" bottom="0.59100002050399802" header="0" footer="0"/>
  <pageSetup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7"/>
  <sheetViews>
    <sheetView workbookViewId="0">
      <selection activeCell="A37" sqref="A37:I37"/>
    </sheetView>
  </sheetViews>
  <sheetFormatPr defaultColWidth="12.140625" defaultRowHeight="15" customHeight="1" x14ac:dyDescent="0.25"/>
  <cols>
    <col min="1" max="1" width="9.140625" customWidth="1"/>
    <col min="2" max="2" width="12.85546875" customWidth="1"/>
    <col min="3" max="3" width="27.140625" customWidth="1"/>
    <col min="4" max="4" width="10" customWidth="1"/>
    <col min="5" max="5" width="14" customWidth="1"/>
    <col min="6" max="6" width="27.140625" customWidth="1"/>
    <col min="7" max="7" width="9.140625" customWidth="1"/>
    <col min="8" max="8" width="12.85546875" customWidth="1"/>
    <col min="9" max="9" width="27.140625" customWidth="1"/>
  </cols>
  <sheetData>
    <row r="1" spans="1:9" ht="54.75" customHeight="1" x14ac:dyDescent="0.25">
      <c r="A1" s="97" t="s">
        <v>446</v>
      </c>
      <c r="B1" s="66"/>
      <c r="C1" s="66"/>
      <c r="D1" s="66"/>
      <c r="E1" s="66"/>
      <c r="F1" s="66"/>
      <c r="G1" s="66"/>
      <c r="H1" s="66"/>
      <c r="I1" s="66"/>
    </row>
    <row r="2" spans="1:9" x14ac:dyDescent="0.25">
      <c r="A2" s="67" t="s">
        <v>1</v>
      </c>
      <c r="B2" s="68"/>
      <c r="C2" s="76" t="str">
        <f>'Stavební rozpočet'!C2</f>
        <v>VÝSTAVBA HŘIŠTĚ S UMĚLÝM POVRCHEM</v>
      </c>
      <c r="D2" s="77"/>
      <c r="E2" s="74" t="s">
        <v>5</v>
      </c>
      <c r="F2" s="74" t="str">
        <f>'Stavební rozpočet'!I2</f>
        <v>MĚSTO RUMBURK</v>
      </c>
      <c r="G2" s="68"/>
      <c r="H2" s="74" t="s">
        <v>447</v>
      </c>
      <c r="I2" s="79" t="s">
        <v>51</v>
      </c>
    </row>
    <row r="3" spans="1:9" ht="15" customHeight="1" x14ac:dyDescent="0.25">
      <c r="A3" s="69"/>
      <c r="B3" s="70"/>
      <c r="C3" s="78"/>
      <c r="D3" s="78"/>
      <c r="E3" s="70"/>
      <c r="F3" s="70"/>
      <c r="G3" s="70"/>
      <c r="H3" s="70"/>
      <c r="I3" s="80"/>
    </row>
    <row r="4" spans="1:9" x14ac:dyDescent="0.25">
      <c r="A4" s="71" t="s">
        <v>7</v>
      </c>
      <c r="B4" s="70"/>
      <c r="C4" s="75" t="str">
        <f>'Stavební rozpočet'!C4</f>
        <v>SPORTOVNÍ PLOCHY</v>
      </c>
      <c r="D4" s="70"/>
      <c r="E4" s="75" t="s">
        <v>10</v>
      </c>
      <c r="F4" s="75" t="str">
        <f>'Stavební rozpočet'!I4</f>
        <v>ING.MICHAL BURDA</v>
      </c>
      <c r="G4" s="70"/>
      <c r="H4" s="75" t="s">
        <v>447</v>
      </c>
      <c r="I4" s="80" t="s">
        <v>51</v>
      </c>
    </row>
    <row r="5" spans="1:9" ht="15" customHeight="1" x14ac:dyDescent="0.25">
      <c r="A5" s="69"/>
      <c r="B5" s="70"/>
      <c r="C5" s="70"/>
      <c r="D5" s="70"/>
      <c r="E5" s="70"/>
      <c r="F5" s="70"/>
      <c r="G5" s="70"/>
      <c r="H5" s="70"/>
      <c r="I5" s="80"/>
    </row>
    <row r="6" spans="1:9" x14ac:dyDescent="0.25">
      <c r="A6" s="71" t="s">
        <v>12</v>
      </c>
      <c r="B6" s="70"/>
      <c r="C6" s="75" t="str">
        <f>'Stavební rozpočet'!C6</f>
        <v>RUMBURK U BAZÉNU</v>
      </c>
      <c r="D6" s="70"/>
      <c r="E6" s="75" t="s">
        <v>15</v>
      </c>
      <c r="F6" s="75" t="str">
        <f>'Stavební rozpočet'!I6</f>
        <v>BUDE VYBRÁN</v>
      </c>
      <c r="G6" s="70"/>
      <c r="H6" s="75" t="s">
        <v>447</v>
      </c>
      <c r="I6" s="80" t="s">
        <v>51</v>
      </c>
    </row>
    <row r="7" spans="1:9" ht="15" customHeight="1" x14ac:dyDescent="0.25">
      <c r="A7" s="69"/>
      <c r="B7" s="70"/>
      <c r="C7" s="70"/>
      <c r="D7" s="70"/>
      <c r="E7" s="70"/>
      <c r="F7" s="70"/>
      <c r="G7" s="70"/>
      <c r="H7" s="70"/>
      <c r="I7" s="80"/>
    </row>
    <row r="8" spans="1:9" x14ac:dyDescent="0.25">
      <c r="A8" s="71" t="s">
        <v>9</v>
      </c>
      <c r="B8" s="70"/>
      <c r="C8" s="75" t="str">
        <f>'Stavební rozpočet'!G4</f>
        <v xml:space="preserve"> </v>
      </c>
      <c r="D8" s="70"/>
      <c r="E8" s="75" t="s">
        <v>14</v>
      </c>
      <c r="F8" s="75" t="str">
        <f>'Stavební rozpočet'!G6</f>
        <v xml:space="preserve"> </v>
      </c>
      <c r="G8" s="70"/>
      <c r="H8" s="70" t="s">
        <v>448</v>
      </c>
      <c r="I8" s="100">
        <v>71</v>
      </c>
    </row>
    <row r="9" spans="1:9" x14ac:dyDescent="0.25">
      <c r="A9" s="69"/>
      <c r="B9" s="70"/>
      <c r="C9" s="70"/>
      <c r="D9" s="70"/>
      <c r="E9" s="70"/>
      <c r="F9" s="70"/>
      <c r="G9" s="70"/>
      <c r="H9" s="70"/>
      <c r="I9" s="80"/>
    </row>
    <row r="10" spans="1:9" x14ac:dyDescent="0.25">
      <c r="A10" s="71" t="s">
        <v>17</v>
      </c>
      <c r="B10" s="70"/>
      <c r="C10" s="75" t="str">
        <f>'Stavební rozpočet'!C8</f>
        <v xml:space="preserve"> </v>
      </c>
      <c r="D10" s="70"/>
      <c r="E10" s="75" t="s">
        <v>20</v>
      </c>
      <c r="F10" s="75" t="str">
        <f>'Stavební rozpočet'!I8</f>
        <v>IIČVDF</v>
      </c>
      <c r="G10" s="70"/>
      <c r="H10" s="70" t="s">
        <v>449</v>
      </c>
      <c r="I10" s="101" t="str">
        <f>'Stavební rozpočet'!G8</f>
        <v>08.04.2025</v>
      </c>
    </row>
    <row r="11" spans="1:9" x14ac:dyDescent="0.25">
      <c r="A11" s="98"/>
      <c r="B11" s="99"/>
      <c r="C11" s="99"/>
      <c r="D11" s="99"/>
      <c r="E11" s="99"/>
      <c r="F11" s="99"/>
      <c r="G11" s="99"/>
      <c r="H11" s="99"/>
      <c r="I11" s="102"/>
    </row>
    <row r="12" spans="1:9" ht="23.25" x14ac:dyDescent="0.25">
      <c r="A12" s="103" t="s">
        <v>450</v>
      </c>
      <c r="B12" s="103"/>
      <c r="C12" s="103"/>
      <c r="D12" s="103"/>
      <c r="E12" s="103"/>
      <c r="F12" s="103"/>
      <c r="G12" s="103"/>
      <c r="H12" s="103"/>
      <c r="I12" s="103"/>
    </row>
    <row r="13" spans="1:9" ht="26.25" customHeight="1" x14ac:dyDescent="0.25">
      <c r="A13" s="44" t="s">
        <v>451</v>
      </c>
      <c r="B13" s="104" t="s">
        <v>452</v>
      </c>
      <c r="C13" s="105"/>
      <c r="D13" s="45" t="s">
        <v>453</v>
      </c>
      <c r="E13" s="104" t="s">
        <v>454</v>
      </c>
      <c r="F13" s="105"/>
      <c r="G13" s="45" t="s">
        <v>455</v>
      </c>
      <c r="H13" s="104" t="s">
        <v>456</v>
      </c>
      <c r="I13" s="105"/>
    </row>
    <row r="14" spans="1:9" ht="15.75" x14ac:dyDescent="0.25">
      <c r="A14" s="46" t="s">
        <v>457</v>
      </c>
      <c r="B14" s="47" t="s">
        <v>458</v>
      </c>
      <c r="C14" s="48">
        <f>SUM('Stavební rozpočet'!AB12:AB227)</f>
        <v>0</v>
      </c>
      <c r="D14" s="112" t="s">
        <v>459</v>
      </c>
      <c r="E14" s="113"/>
      <c r="F14" s="48">
        <f>VORN!I15</f>
        <v>0</v>
      </c>
      <c r="G14" s="112" t="s">
        <v>440</v>
      </c>
      <c r="H14" s="113"/>
      <c r="I14" s="49">
        <f>VORN!I21</f>
        <v>0</v>
      </c>
    </row>
    <row r="15" spans="1:9" ht="15.75" x14ac:dyDescent="0.25">
      <c r="A15" s="50" t="s">
        <v>51</v>
      </c>
      <c r="B15" s="47" t="s">
        <v>36</v>
      </c>
      <c r="C15" s="48">
        <f>SUM('Stavební rozpočet'!AC12:AC227)</f>
        <v>0</v>
      </c>
      <c r="D15" s="112" t="s">
        <v>460</v>
      </c>
      <c r="E15" s="113"/>
      <c r="F15" s="48">
        <f>VORN!I16</f>
        <v>0</v>
      </c>
      <c r="G15" s="112" t="s">
        <v>461</v>
      </c>
      <c r="H15" s="113"/>
      <c r="I15" s="49">
        <f>VORN!I22</f>
        <v>0</v>
      </c>
    </row>
    <row r="16" spans="1:9" ht="15.75" x14ac:dyDescent="0.25">
      <c r="A16" s="46" t="s">
        <v>462</v>
      </c>
      <c r="B16" s="47" t="s">
        <v>458</v>
      </c>
      <c r="C16" s="48">
        <f>SUM('Stavební rozpočet'!AD12:AD227)</f>
        <v>0</v>
      </c>
      <c r="D16" s="112" t="s">
        <v>463</v>
      </c>
      <c r="E16" s="113"/>
      <c r="F16" s="48">
        <f>VORN!I17</f>
        <v>0</v>
      </c>
      <c r="G16" s="112" t="s">
        <v>464</v>
      </c>
      <c r="H16" s="113"/>
      <c r="I16" s="49">
        <f>VORN!I23</f>
        <v>0</v>
      </c>
    </row>
    <row r="17" spans="1:9" ht="15.75" x14ac:dyDescent="0.25">
      <c r="A17" s="50" t="s">
        <v>51</v>
      </c>
      <c r="B17" s="47" t="s">
        <v>36</v>
      </c>
      <c r="C17" s="48">
        <f>SUM('Stavební rozpočet'!AE12:AE227)</f>
        <v>0</v>
      </c>
      <c r="D17" s="112" t="s">
        <v>51</v>
      </c>
      <c r="E17" s="113"/>
      <c r="F17" s="49" t="s">
        <v>51</v>
      </c>
      <c r="G17" s="112" t="s">
        <v>465</v>
      </c>
      <c r="H17" s="113"/>
      <c r="I17" s="49">
        <f>VORN!I24</f>
        <v>0</v>
      </c>
    </row>
    <row r="18" spans="1:9" ht="15.75" x14ac:dyDescent="0.25">
      <c r="A18" s="46" t="s">
        <v>466</v>
      </c>
      <c r="B18" s="47" t="s">
        <v>458</v>
      </c>
      <c r="C18" s="48">
        <f>SUM('Stavební rozpočet'!AF12:AF227)</f>
        <v>0</v>
      </c>
      <c r="D18" s="112" t="s">
        <v>51</v>
      </c>
      <c r="E18" s="113"/>
      <c r="F18" s="49" t="s">
        <v>51</v>
      </c>
      <c r="G18" s="112" t="s">
        <v>467</v>
      </c>
      <c r="H18" s="113"/>
      <c r="I18" s="49">
        <f>VORN!I25</f>
        <v>0</v>
      </c>
    </row>
    <row r="19" spans="1:9" ht="15.75" x14ac:dyDescent="0.25">
      <c r="A19" s="50" t="s">
        <v>51</v>
      </c>
      <c r="B19" s="47" t="s">
        <v>36</v>
      </c>
      <c r="C19" s="48">
        <f>SUM('Stavební rozpočet'!AG12:AG227)</f>
        <v>0</v>
      </c>
      <c r="D19" s="112" t="s">
        <v>51</v>
      </c>
      <c r="E19" s="113"/>
      <c r="F19" s="49" t="s">
        <v>51</v>
      </c>
      <c r="G19" s="112" t="s">
        <v>468</v>
      </c>
      <c r="H19" s="113"/>
      <c r="I19" s="49">
        <f>VORN!I26</f>
        <v>0</v>
      </c>
    </row>
    <row r="20" spans="1:9" ht="15.75" x14ac:dyDescent="0.25">
      <c r="A20" s="106" t="s">
        <v>469</v>
      </c>
      <c r="B20" s="107"/>
      <c r="C20" s="48">
        <f>SUM('Stavební rozpočet'!AH12:AH227)</f>
        <v>0</v>
      </c>
      <c r="D20" s="112" t="s">
        <v>51</v>
      </c>
      <c r="E20" s="113"/>
      <c r="F20" s="49" t="s">
        <v>51</v>
      </c>
      <c r="G20" s="112" t="s">
        <v>51</v>
      </c>
      <c r="H20" s="113"/>
      <c r="I20" s="49" t="s">
        <v>51</v>
      </c>
    </row>
    <row r="21" spans="1:9" ht="15.75" x14ac:dyDescent="0.25">
      <c r="A21" s="108" t="s">
        <v>470</v>
      </c>
      <c r="B21" s="109"/>
      <c r="C21" s="51">
        <f>SUM('Stavební rozpočet'!Z12:Z227)</f>
        <v>0</v>
      </c>
      <c r="D21" s="114" t="s">
        <v>51</v>
      </c>
      <c r="E21" s="115"/>
      <c r="F21" s="52" t="s">
        <v>51</v>
      </c>
      <c r="G21" s="114" t="s">
        <v>51</v>
      </c>
      <c r="H21" s="115"/>
      <c r="I21" s="52" t="s">
        <v>51</v>
      </c>
    </row>
    <row r="22" spans="1:9" ht="16.5" customHeight="1" x14ac:dyDescent="0.25">
      <c r="A22" s="110" t="s">
        <v>471</v>
      </c>
      <c r="B22" s="111"/>
      <c r="C22" s="53">
        <f>ROUND(SUM(C14:C21),2)</f>
        <v>0</v>
      </c>
      <c r="D22" s="116" t="s">
        <v>472</v>
      </c>
      <c r="E22" s="111"/>
      <c r="F22" s="53">
        <f>SUM(F14:F21)</f>
        <v>0</v>
      </c>
      <c r="G22" s="116" t="s">
        <v>473</v>
      </c>
      <c r="H22" s="111"/>
      <c r="I22" s="53">
        <f>SUM(I14:I21)</f>
        <v>0</v>
      </c>
    </row>
    <row r="23" spans="1:9" ht="15.75" x14ac:dyDescent="0.25">
      <c r="D23" s="106" t="s">
        <v>474</v>
      </c>
      <c r="E23" s="107"/>
      <c r="F23" s="54">
        <v>0</v>
      </c>
      <c r="G23" s="117" t="s">
        <v>475</v>
      </c>
      <c r="H23" s="107"/>
      <c r="I23" s="48">
        <v>0</v>
      </c>
    </row>
    <row r="24" spans="1:9" ht="15.75" x14ac:dyDescent="0.25">
      <c r="G24" s="106" t="s">
        <v>476</v>
      </c>
      <c r="H24" s="107"/>
      <c r="I24" s="51">
        <f>vorn_sum</f>
        <v>0</v>
      </c>
    </row>
    <row r="25" spans="1:9" ht="15.75" x14ac:dyDescent="0.25">
      <c r="G25" s="106" t="s">
        <v>477</v>
      </c>
      <c r="H25" s="107"/>
      <c r="I25" s="53">
        <v>0</v>
      </c>
    </row>
    <row r="27" spans="1:9" ht="15.75" x14ac:dyDescent="0.25">
      <c r="A27" s="118" t="s">
        <v>478</v>
      </c>
      <c r="B27" s="119"/>
      <c r="C27" s="55">
        <f>ROUND(SUM('Stavební rozpočet'!AJ12:AJ227),2)</f>
        <v>0</v>
      </c>
    </row>
    <row r="28" spans="1:9" ht="15.75" x14ac:dyDescent="0.25">
      <c r="A28" s="120" t="s">
        <v>479</v>
      </c>
      <c r="B28" s="121"/>
      <c r="C28" s="56">
        <f>ROUND(SUM('Stavební rozpočet'!AK12:AK227),2)</f>
        <v>0</v>
      </c>
      <c r="D28" s="122" t="s">
        <v>480</v>
      </c>
      <c r="E28" s="119"/>
      <c r="F28" s="55">
        <f>ROUND(C28*(12/100),2)</f>
        <v>0</v>
      </c>
      <c r="G28" s="122" t="s">
        <v>481</v>
      </c>
      <c r="H28" s="119"/>
      <c r="I28" s="55">
        <f>ROUND(SUM(C27:C29),2)</f>
        <v>0</v>
      </c>
    </row>
    <row r="29" spans="1:9" ht="15.75" x14ac:dyDescent="0.25">
      <c r="A29" s="120" t="s">
        <v>482</v>
      </c>
      <c r="B29" s="121"/>
      <c r="C29" s="56">
        <f>ROUND(SUM('Stavební rozpočet'!AL12:AL227),2)</f>
        <v>0</v>
      </c>
      <c r="D29" s="123" t="s">
        <v>483</v>
      </c>
      <c r="E29" s="121"/>
      <c r="F29" s="56">
        <f>ROUND(C29*(21/100),2)</f>
        <v>0</v>
      </c>
      <c r="G29" s="123" t="s">
        <v>484</v>
      </c>
      <c r="H29" s="121"/>
      <c r="I29" s="56">
        <f>ROUND(SUM(F28:F29)+I28,2)</f>
        <v>0</v>
      </c>
    </row>
    <row r="31" spans="1:9" x14ac:dyDescent="0.25">
      <c r="A31" s="124" t="s">
        <v>485</v>
      </c>
      <c r="B31" s="125"/>
      <c r="C31" s="126"/>
      <c r="D31" s="133" t="s">
        <v>486</v>
      </c>
      <c r="E31" s="125"/>
      <c r="F31" s="126"/>
      <c r="G31" s="133" t="s">
        <v>487</v>
      </c>
      <c r="H31" s="125"/>
      <c r="I31" s="126"/>
    </row>
    <row r="32" spans="1:9" x14ac:dyDescent="0.25">
      <c r="A32" s="127" t="s">
        <v>51</v>
      </c>
      <c r="B32" s="128"/>
      <c r="C32" s="129"/>
      <c r="D32" s="134" t="s">
        <v>51</v>
      </c>
      <c r="E32" s="128"/>
      <c r="F32" s="129"/>
      <c r="G32" s="134" t="s">
        <v>51</v>
      </c>
      <c r="H32" s="128"/>
      <c r="I32" s="129"/>
    </row>
    <row r="33" spans="1:9" x14ac:dyDescent="0.25">
      <c r="A33" s="127" t="s">
        <v>51</v>
      </c>
      <c r="B33" s="128"/>
      <c r="C33" s="129"/>
      <c r="D33" s="134" t="s">
        <v>51</v>
      </c>
      <c r="E33" s="128"/>
      <c r="F33" s="129"/>
      <c r="G33" s="134" t="s">
        <v>51</v>
      </c>
      <c r="H33" s="128"/>
      <c r="I33" s="129"/>
    </row>
    <row r="34" spans="1:9" x14ac:dyDescent="0.25">
      <c r="A34" s="127" t="s">
        <v>51</v>
      </c>
      <c r="B34" s="128"/>
      <c r="C34" s="129"/>
      <c r="D34" s="134" t="s">
        <v>51</v>
      </c>
      <c r="E34" s="128"/>
      <c r="F34" s="129"/>
      <c r="G34" s="134" t="s">
        <v>51</v>
      </c>
      <c r="H34" s="128"/>
      <c r="I34" s="129"/>
    </row>
    <row r="35" spans="1:9" x14ac:dyDescent="0.25">
      <c r="A35" s="130" t="s">
        <v>488</v>
      </c>
      <c r="B35" s="131"/>
      <c r="C35" s="132"/>
      <c r="D35" s="135" t="s">
        <v>488</v>
      </c>
      <c r="E35" s="131"/>
      <c r="F35" s="132"/>
      <c r="G35" s="135" t="s">
        <v>488</v>
      </c>
      <c r="H35" s="131"/>
      <c r="I35" s="132"/>
    </row>
    <row r="36" spans="1:9" x14ac:dyDescent="0.25">
      <c r="A36" s="57" t="s">
        <v>445</v>
      </c>
    </row>
    <row r="37" spans="1:9" ht="12.75" customHeight="1" x14ac:dyDescent="0.25">
      <c r="A37" s="75" t="s">
        <v>51</v>
      </c>
      <c r="B37" s="70"/>
      <c r="C37" s="70"/>
      <c r="D37" s="70"/>
      <c r="E37" s="70"/>
      <c r="F37" s="70"/>
      <c r="G37" s="70"/>
      <c r="H37" s="70"/>
      <c r="I37" s="70"/>
    </row>
  </sheetData>
  <mergeCells count="83">
    <mergeCell ref="A37:I37"/>
    <mergeCell ref="G31:I31"/>
    <mergeCell ref="G32:I32"/>
    <mergeCell ref="G33:I33"/>
    <mergeCell ref="G34:I34"/>
    <mergeCell ref="G35:I35"/>
    <mergeCell ref="D31:F31"/>
    <mergeCell ref="D32:F32"/>
    <mergeCell ref="D33:F33"/>
    <mergeCell ref="D34:F34"/>
    <mergeCell ref="D35:F35"/>
    <mergeCell ref="A31:C31"/>
    <mergeCell ref="A32:C32"/>
    <mergeCell ref="A33:C33"/>
    <mergeCell ref="A34:C34"/>
    <mergeCell ref="A35:C35"/>
    <mergeCell ref="G24:H24"/>
    <mergeCell ref="G25:H25"/>
    <mergeCell ref="A27:B27"/>
    <mergeCell ref="A28:B28"/>
    <mergeCell ref="A29:B29"/>
    <mergeCell ref="D28:E28"/>
    <mergeCell ref="D29:E29"/>
    <mergeCell ref="G28:H28"/>
    <mergeCell ref="G29:H29"/>
    <mergeCell ref="D23:E23"/>
    <mergeCell ref="G14:H14"/>
    <mergeCell ref="G15:H15"/>
    <mergeCell ref="G16:H16"/>
    <mergeCell ref="G17:H17"/>
    <mergeCell ref="G18:H18"/>
    <mergeCell ref="G19:H19"/>
    <mergeCell ref="G20:H20"/>
    <mergeCell ref="G21:H21"/>
    <mergeCell ref="G22:H22"/>
    <mergeCell ref="G23:H23"/>
    <mergeCell ref="A20:B20"/>
    <mergeCell ref="A21:B21"/>
    <mergeCell ref="A22:B22"/>
    <mergeCell ref="D14:E14"/>
    <mergeCell ref="D15:E15"/>
    <mergeCell ref="D16:E16"/>
    <mergeCell ref="D17:E17"/>
    <mergeCell ref="D18:E18"/>
    <mergeCell ref="D19:E19"/>
    <mergeCell ref="D20:E20"/>
    <mergeCell ref="D21:E21"/>
    <mergeCell ref="D22:E22"/>
    <mergeCell ref="I10:I11"/>
    <mergeCell ref="A12:I12"/>
    <mergeCell ref="B13:C13"/>
    <mergeCell ref="E13:F13"/>
    <mergeCell ref="H13:I13"/>
    <mergeCell ref="F10:G11"/>
    <mergeCell ref="H2:H3"/>
    <mergeCell ref="H4:H5"/>
    <mergeCell ref="H6:H7"/>
    <mergeCell ref="H8:H9"/>
    <mergeCell ref="H10:H11"/>
    <mergeCell ref="A10:B11"/>
    <mergeCell ref="E2:E3"/>
    <mergeCell ref="E4:E5"/>
    <mergeCell ref="E6:E7"/>
    <mergeCell ref="E8:E9"/>
    <mergeCell ref="E10:E11"/>
    <mergeCell ref="C2:D3"/>
    <mergeCell ref="C4:D5"/>
    <mergeCell ref="C6:D7"/>
    <mergeCell ref="C8:D9"/>
    <mergeCell ref="C10:D11"/>
    <mergeCell ref="A1:I1"/>
    <mergeCell ref="A2:B3"/>
    <mergeCell ref="A4:B5"/>
    <mergeCell ref="A6:B7"/>
    <mergeCell ref="A8:B9"/>
    <mergeCell ref="F2:G3"/>
    <mergeCell ref="F4:G5"/>
    <mergeCell ref="F6:G7"/>
    <mergeCell ref="F8:G9"/>
    <mergeCell ref="I2:I3"/>
    <mergeCell ref="I4:I5"/>
    <mergeCell ref="I6:I7"/>
    <mergeCell ref="I8:I9"/>
  </mergeCells>
  <pageMargins left="0.393999993801117" right="0.393999993801117" top="0.59100002050399802" bottom="0.59100002050399802"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5"/>
  <sheetViews>
    <sheetView workbookViewId="0">
      <selection activeCell="A45" sqref="A45:E45"/>
    </sheetView>
  </sheetViews>
  <sheetFormatPr defaultColWidth="12.140625" defaultRowHeight="15" customHeight="1" x14ac:dyDescent="0.25"/>
  <cols>
    <col min="1" max="1" width="9.140625" customWidth="1"/>
    <col min="2" max="2" width="12.85546875" customWidth="1"/>
    <col min="3" max="3" width="22.85546875" customWidth="1"/>
    <col min="4" max="4" width="10" customWidth="1"/>
    <col min="5" max="5" width="14" customWidth="1"/>
    <col min="6" max="6" width="22.85546875" customWidth="1"/>
    <col min="7" max="7" width="9.140625" customWidth="1"/>
    <col min="8" max="8" width="17.140625" customWidth="1"/>
    <col min="9" max="9" width="22.85546875" customWidth="1"/>
  </cols>
  <sheetData>
    <row r="1" spans="1:9" ht="54.75" customHeight="1" x14ac:dyDescent="0.25">
      <c r="A1" s="97" t="s">
        <v>423</v>
      </c>
      <c r="B1" s="66"/>
      <c r="C1" s="66"/>
      <c r="D1" s="66"/>
      <c r="E1" s="66"/>
      <c r="F1" s="66"/>
      <c r="G1" s="66"/>
      <c r="H1" s="66"/>
      <c r="I1" s="66"/>
    </row>
    <row r="2" spans="1:9" x14ac:dyDescent="0.25">
      <c r="A2" s="67" t="s">
        <v>1</v>
      </c>
      <c r="B2" s="68"/>
      <c r="C2" s="76" t="str">
        <f>'Stavební rozpočet'!C2</f>
        <v>VÝSTAVBA HŘIŠTĚ S UMĚLÝM POVRCHEM</v>
      </c>
      <c r="D2" s="77"/>
      <c r="E2" s="74" t="s">
        <v>5</v>
      </c>
      <c r="F2" s="74" t="str">
        <f>'Stavební rozpočet'!I2</f>
        <v>MĚSTO RUMBURK</v>
      </c>
      <c r="G2" s="68"/>
      <c r="H2" s="74" t="s">
        <v>447</v>
      </c>
      <c r="I2" s="79" t="s">
        <v>51</v>
      </c>
    </row>
    <row r="3" spans="1:9" ht="15" customHeight="1" x14ac:dyDescent="0.25">
      <c r="A3" s="69"/>
      <c r="B3" s="70"/>
      <c r="C3" s="78"/>
      <c r="D3" s="78"/>
      <c r="E3" s="70"/>
      <c r="F3" s="70"/>
      <c r="G3" s="70"/>
      <c r="H3" s="70"/>
      <c r="I3" s="80"/>
    </row>
    <row r="4" spans="1:9" x14ac:dyDescent="0.25">
      <c r="A4" s="71" t="s">
        <v>7</v>
      </c>
      <c r="B4" s="70"/>
      <c r="C4" s="75" t="str">
        <f>'Stavební rozpočet'!C4</f>
        <v>SPORTOVNÍ PLOCHY</v>
      </c>
      <c r="D4" s="70"/>
      <c r="E4" s="75" t="s">
        <v>10</v>
      </c>
      <c r="F4" s="75" t="str">
        <f>'Stavební rozpočet'!I4</f>
        <v>ING.MICHAL BURDA</v>
      </c>
      <c r="G4" s="70"/>
      <c r="H4" s="75" t="s">
        <v>447</v>
      </c>
      <c r="I4" s="80" t="s">
        <v>51</v>
      </c>
    </row>
    <row r="5" spans="1:9" ht="15" customHeight="1" x14ac:dyDescent="0.25">
      <c r="A5" s="69"/>
      <c r="B5" s="70"/>
      <c r="C5" s="70"/>
      <c r="D5" s="70"/>
      <c r="E5" s="70"/>
      <c r="F5" s="70"/>
      <c r="G5" s="70"/>
      <c r="H5" s="70"/>
      <c r="I5" s="80"/>
    </row>
    <row r="6" spans="1:9" x14ac:dyDescent="0.25">
      <c r="A6" s="71" t="s">
        <v>12</v>
      </c>
      <c r="B6" s="70"/>
      <c r="C6" s="75" t="str">
        <f>'Stavební rozpočet'!C6</f>
        <v>RUMBURK U BAZÉNU</v>
      </c>
      <c r="D6" s="70"/>
      <c r="E6" s="75" t="s">
        <v>15</v>
      </c>
      <c r="F6" s="75" t="str">
        <f>'Stavební rozpočet'!I6</f>
        <v>BUDE VYBRÁN</v>
      </c>
      <c r="G6" s="70"/>
      <c r="H6" s="75" t="s">
        <v>447</v>
      </c>
      <c r="I6" s="80" t="s">
        <v>51</v>
      </c>
    </row>
    <row r="7" spans="1:9" ht="15" customHeight="1" x14ac:dyDescent="0.25">
      <c r="A7" s="69"/>
      <c r="B7" s="70"/>
      <c r="C7" s="70"/>
      <c r="D7" s="70"/>
      <c r="E7" s="70"/>
      <c r="F7" s="70"/>
      <c r="G7" s="70"/>
      <c r="H7" s="70"/>
      <c r="I7" s="80"/>
    </row>
    <row r="8" spans="1:9" x14ac:dyDescent="0.25">
      <c r="A8" s="71" t="s">
        <v>9</v>
      </c>
      <c r="B8" s="70"/>
      <c r="C8" s="75" t="str">
        <f>'Stavební rozpočet'!G4</f>
        <v xml:space="preserve"> </v>
      </c>
      <c r="D8" s="70"/>
      <c r="E8" s="75" t="s">
        <v>14</v>
      </c>
      <c r="F8" s="75" t="str">
        <f>'Stavební rozpočet'!G6</f>
        <v xml:space="preserve"> </v>
      </c>
      <c r="G8" s="70"/>
      <c r="H8" s="70" t="s">
        <v>448</v>
      </c>
      <c r="I8" s="100">
        <v>71</v>
      </c>
    </row>
    <row r="9" spans="1:9" x14ac:dyDescent="0.25">
      <c r="A9" s="69"/>
      <c r="B9" s="70"/>
      <c r="C9" s="70"/>
      <c r="D9" s="70"/>
      <c r="E9" s="70"/>
      <c r="F9" s="70"/>
      <c r="G9" s="70"/>
      <c r="H9" s="70"/>
      <c r="I9" s="80"/>
    </row>
    <row r="10" spans="1:9" x14ac:dyDescent="0.25">
      <c r="A10" s="71" t="s">
        <v>17</v>
      </c>
      <c r="B10" s="70"/>
      <c r="C10" s="75" t="str">
        <f>'Stavební rozpočet'!C8</f>
        <v xml:space="preserve"> </v>
      </c>
      <c r="D10" s="70"/>
      <c r="E10" s="75" t="s">
        <v>20</v>
      </c>
      <c r="F10" s="75" t="str">
        <f>'Stavební rozpočet'!I8</f>
        <v>IIČVDF</v>
      </c>
      <c r="G10" s="70"/>
      <c r="H10" s="70" t="s">
        <v>449</v>
      </c>
      <c r="I10" s="101" t="str">
        <f>'Stavební rozpočet'!G8</f>
        <v>08.04.2025</v>
      </c>
    </row>
    <row r="11" spans="1:9" x14ac:dyDescent="0.25">
      <c r="A11" s="98"/>
      <c r="B11" s="99"/>
      <c r="C11" s="99"/>
      <c r="D11" s="99"/>
      <c r="E11" s="99"/>
      <c r="F11" s="99"/>
      <c r="G11" s="99"/>
      <c r="H11" s="99"/>
      <c r="I11" s="102"/>
    </row>
    <row r="13" spans="1:9" ht="15.75" x14ac:dyDescent="0.25">
      <c r="A13" s="136" t="s">
        <v>489</v>
      </c>
      <c r="B13" s="136"/>
      <c r="C13" s="136"/>
      <c r="D13" s="136"/>
      <c r="E13" s="136"/>
    </row>
    <row r="14" spans="1:9" x14ac:dyDescent="0.25">
      <c r="A14" s="137" t="s">
        <v>490</v>
      </c>
      <c r="B14" s="138"/>
      <c r="C14" s="138"/>
      <c r="D14" s="138"/>
      <c r="E14" s="139"/>
      <c r="F14" s="58" t="s">
        <v>491</v>
      </c>
      <c r="G14" s="58" t="s">
        <v>492</v>
      </c>
      <c r="H14" s="58" t="s">
        <v>493</v>
      </c>
      <c r="I14" s="58" t="s">
        <v>491</v>
      </c>
    </row>
    <row r="15" spans="1:9" x14ac:dyDescent="0.25">
      <c r="A15" s="140" t="s">
        <v>459</v>
      </c>
      <c r="B15" s="141"/>
      <c r="C15" s="141"/>
      <c r="D15" s="141"/>
      <c r="E15" s="142"/>
      <c r="F15" s="59">
        <v>0</v>
      </c>
      <c r="G15" s="60" t="s">
        <v>51</v>
      </c>
      <c r="H15" s="60" t="s">
        <v>51</v>
      </c>
      <c r="I15" s="59">
        <f>F15</f>
        <v>0</v>
      </c>
    </row>
    <row r="16" spans="1:9" x14ac:dyDescent="0.25">
      <c r="A16" s="140" t="s">
        <v>460</v>
      </c>
      <c r="B16" s="141"/>
      <c r="C16" s="141"/>
      <c r="D16" s="141"/>
      <c r="E16" s="142"/>
      <c r="F16" s="59">
        <v>0</v>
      </c>
      <c r="G16" s="60" t="s">
        <v>51</v>
      </c>
      <c r="H16" s="60" t="s">
        <v>51</v>
      </c>
      <c r="I16" s="59">
        <f>F16</f>
        <v>0</v>
      </c>
    </row>
    <row r="17" spans="1:9" x14ac:dyDescent="0.25">
      <c r="A17" s="143" t="s">
        <v>463</v>
      </c>
      <c r="B17" s="144"/>
      <c r="C17" s="144"/>
      <c r="D17" s="144"/>
      <c r="E17" s="145"/>
      <c r="F17" s="61">
        <v>0</v>
      </c>
      <c r="G17" s="62" t="s">
        <v>51</v>
      </c>
      <c r="H17" s="62" t="s">
        <v>51</v>
      </c>
      <c r="I17" s="61">
        <f>F17</f>
        <v>0</v>
      </c>
    </row>
    <row r="18" spans="1:9" x14ac:dyDescent="0.25">
      <c r="A18" s="146" t="s">
        <v>494</v>
      </c>
      <c r="B18" s="147"/>
      <c r="C18" s="147"/>
      <c r="D18" s="147"/>
      <c r="E18" s="148"/>
      <c r="F18" s="63" t="s">
        <v>51</v>
      </c>
      <c r="G18" s="64" t="s">
        <v>51</v>
      </c>
      <c r="H18" s="64" t="s">
        <v>51</v>
      </c>
      <c r="I18" s="65">
        <f>SUM(I15:I17)</f>
        <v>0</v>
      </c>
    </row>
    <row r="20" spans="1:9" x14ac:dyDescent="0.25">
      <c r="A20" s="137" t="s">
        <v>456</v>
      </c>
      <c r="B20" s="138"/>
      <c r="C20" s="138"/>
      <c r="D20" s="138"/>
      <c r="E20" s="139"/>
      <c r="F20" s="58" t="s">
        <v>491</v>
      </c>
      <c r="G20" s="58" t="s">
        <v>492</v>
      </c>
      <c r="H20" s="58" t="s">
        <v>493</v>
      </c>
      <c r="I20" s="58" t="s">
        <v>491</v>
      </c>
    </row>
    <row r="21" spans="1:9" x14ac:dyDescent="0.25">
      <c r="A21" s="140" t="s">
        <v>440</v>
      </c>
      <c r="B21" s="141"/>
      <c r="C21" s="141"/>
      <c r="D21" s="141"/>
      <c r="E21" s="142"/>
      <c r="F21" s="59">
        <v>0</v>
      </c>
      <c r="G21" s="60" t="s">
        <v>51</v>
      </c>
      <c r="H21" s="60" t="s">
        <v>51</v>
      </c>
      <c r="I21" s="59">
        <f t="shared" ref="I21:I26" si="0">F21</f>
        <v>0</v>
      </c>
    </row>
    <row r="22" spans="1:9" x14ac:dyDescent="0.25">
      <c r="A22" s="140" t="s">
        <v>461</v>
      </c>
      <c r="B22" s="141"/>
      <c r="C22" s="141"/>
      <c r="D22" s="141"/>
      <c r="E22" s="142"/>
      <c r="F22" s="59">
        <v>0</v>
      </c>
      <c r="G22" s="60" t="s">
        <v>51</v>
      </c>
      <c r="H22" s="60" t="s">
        <v>51</v>
      </c>
      <c r="I22" s="59">
        <f t="shared" si="0"/>
        <v>0</v>
      </c>
    </row>
    <row r="23" spans="1:9" x14ac:dyDescent="0.25">
      <c r="A23" s="140" t="s">
        <v>464</v>
      </c>
      <c r="B23" s="141"/>
      <c r="C23" s="141"/>
      <c r="D23" s="141"/>
      <c r="E23" s="142"/>
      <c r="F23" s="59">
        <v>0</v>
      </c>
      <c r="G23" s="60" t="s">
        <v>51</v>
      </c>
      <c r="H23" s="60" t="s">
        <v>51</v>
      </c>
      <c r="I23" s="59">
        <f t="shared" si="0"/>
        <v>0</v>
      </c>
    </row>
    <row r="24" spans="1:9" x14ac:dyDescent="0.25">
      <c r="A24" s="140" t="s">
        <v>465</v>
      </c>
      <c r="B24" s="141"/>
      <c r="C24" s="141"/>
      <c r="D24" s="141"/>
      <c r="E24" s="142"/>
      <c r="F24" s="59">
        <v>0</v>
      </c>
      <c r="G24" s="60" t="s">
        <v>51</v>
      </c>
      <c r="H24" s="60" t="s">
        <v>51</v>
      </c>
      <c r="I24" s="59">
        <f t="shared" si="0"/>
        <v>0</v>
      </c>
    </row>
    <row r="25" spans="1:9" x14ac:dyDescent="0.25">
      <c r="A25" s="140" t="s">
        <v>467</v>
      </c>
      <c r="B25" s="141"/>
      <c r="C25" s="141"/>
      <c r="D25" s="141"/>
      <c r="E25" s="142"/>
      <c r="F25" s="59">
        <v>0</v>
      </c>
      <c r="G25" s="60" t="s">
        <v>51</v>
      </c>
      <c r="H25" s="60" t="s">
        <v>51</v>
      </c>
      <c r="I25" s="59">
        <f t="shared" si="0"/>
        <v>0</v>
      </c>
    </row>
    <row r="26" spans="1:9" x14ac:dyDescent="0.25">
      <c r="A26" s="143" t="s">
        <v>468</v>
      </c>
      <c r="B26" s="144"/>
      <c r="C26" s="144"/>
      <c r="D26" s="144"/>
      <c r="E26" s="145"/>
      <c r="F26" s="61">
        <v>0</v>
      </c>
      <c r="G26" s="62" t="s">
        <v>51</v>
      </c>
      <c r="H26" s="62" t="s">
        <v>51</v>
      </c>
      <c r="I26" s="61">
        <f t="shared" si="0"/>
        <v>0</v>
      </c>
    </row>
    <row r="27" spans="1:9" x14ac:dyDescent="0.25">
      <c r="A27" s="146" t="s">
        <v>495</v>
      </c>
      <c r="B27" s="147"/>
      <c r="C27" s="147"/>
      <c r="D27" s="147"/>
      <c r="E27" s="148"/>
      <c r="F27" s="63" t="s">
        <v>51</v>
      </c>
      <c r="G27" s="64" t="s">
        <v>51</v>
      </c>
      <c r="H27" s="64" t="s">
        <v>51</v>
      </c>
      <c r="I27" s="65">
        <f>SUM(I21:I26)</f>
        <v>0</v>
      </c>
    </row>
    <row r="29" spans="1:9" ht="15.75" x14ac:dyDescent="0.25">
      <c r="A29" s="149" t="s">
        <v>496</v>
      </c>
      <c r="B29" s="150"/>
      <c r="C29" s="150"/>
      <c r="D29" s="150"/>
      <c r="E29" s="151"/>
      <c r="F29" s="152">
        <f>I18+I27</f>
        <v>0</v>
      </c>
      <c r="G29" s="153"/>
      <c r="H29" s="153"/>
      <c r="I29" s="154"/>
    </row>
    <row r="33" spans="1:9" ht="15.75" x14ac:dyDescent="0.25">
      <c r="A33" s="136" t="s">
        <v>497</v>
      </c>
      <c r="B33" s="136"/>
      <c r="C33" s="136"/>
      <c r="D33" s="136"/>
      <c r="E33" s="136"/>
    </row>
    <row r="34" spans="1:9" x14ac:dyDescent="0.25">
      <c r="A34" s="137" t="s">
        <v>498</v>
      </c>
      <c r="B34" s="138"/>
      <c r="C34" s="138"/>
      <c r="D34" s="138"/>
      <c r="E34" s="139"/>
      <c r="F34" s="58" t="s">
        <v>491</v>
      </c>
      <c r="G34" s="58" t="s">
        <v>492</v>
      </c>
      <c r="H34" s="58" t="s">
        <v>493</v>
      </c>
      <c r="I34" s="58" t="s">
        <v>491</v>
      </c>
    </row>
    <row r="35" spans="1:9" x14ac:dyDescent="0.25">
      <c r="A35" s="140" t="s">
        <v>425</v>
      </c>
      <c r="B35" s="141"/>
      <c r="C35" s="141"/>
      <c r="D35" s="141"/>
      <c r="E35" s="142"/>
      <c r="F35" s="59">
        <f>SUM('Stavební rozpočet'!BM12:BM227)</f>
        <v>0</v>
      </c>
      <c r="G35" s="60" t="s">
        <v>51</v>
      </c>
      <c r="H35" s="60" t="s">
        <v>51</v>
      </c>
      <c r="I35" s="59">
        <f t="shared" ref="I35:I44" si="1">F35</f>
        <v>0</v>
      </c>
    </row>
    <row r="36" spans="1:9" x14ac:dyDescent="0.25">
      <c r="A36" s="140" t="s">
        <v>434</v>
      </c>
      <c r="B36" s="141"/>
      <c r="C36" s="141"/>
      <c r="D36" s="141"/>
      <c r="E36" s="142"/>
      <c r="F36" s="59">
        <f>SUM('Stavební rozpočet'!BN12:BN227)</f>
        <v>0</v>
      </c>
      <c r="G36" s="60" t="s">
        <v>51</v>
      </c>
      <c r="H36" s="60" t="s">
        <v>51</v>
      </c>
      <c r="I36" s="59">
        <f t="shared" si="1"/>
        <v>0</v>
      </c>
    </row>
    <row r="37" spans="1:9" x14ac:dyDescent="0.25">
      <c r="A37" s="140" t="s">
        <v>440</v>
      </c>
      <c r="B37" s="141"/>
      <c r="C37" s="141"/>
      <c r="D37" s="141"/>
      <c r="E37" s="142"/>
      <c r="F37" s="59">
        <f>SUM('Stavební rozpočet'!BO12:BO227)</f>
        <v>0</v>
      </c>
      <c r="G37" s="60" t="s">
        <v>51</v>
      </c>
      <c r="H37" s="60" t="s">
        <v>51</v>
      </c>
      <c r="I37" s="59">
        <f t="shared" si="1"/>
        <v>0</v>
      </c>
    </row>
    <row r="38" spans="1:9" x14ac:dyDescent="0.25">
      <c r="A38" s="140" t="s">
        <v>499</v>
      </c>
      <c r="B38" s="141"/>
      <c r="C38" s="141"/>
      <c r="D38" s="141"/>
      <c r="E38" s="142"/>
      <c r="F38" s="59">
        <f>SUM('Stavební rozpočet'!BP12:BP227)</f>
        <v>0</v>
      </c>
      <c r="G38" s="60" t="s">
        <v>51</v>
      </c>
      <c r="H38" s="60" t="s">
        <v>51</v>
      </c>
      <c r="I38" s="59">
        <f t="shared" si="1"/>
        <v>0</v>
      </c>
    </row>
    <row r="39" spans="1:9" x14ac:dyDescent="0.25">
      <c r="A39" s="140" t="s">
        <v>500</v>
      </c>
      <c r="B39" s="141"/>
      <c r="C39" s="141"/>
      <c r="D39" s="141"/>
      <c r="E39" s="142"/>
      <c r="F39" s="59">
        <f>SUM('Stavební rozpočet'!BQ12:BQ227)</f>
        <v>0</v>
      </c>
      <c r="G39" s="60" t="s">
        <v>51</v>
      </c>
      <c r="H39" s="60" t="s">
        <v>51</v>
      </c>
      <c r="I39" s="59">
        <f t="shared" si="1"/>
        <v>0</v>
      </c>
    </row>
    <row r="40" spans="1:9" x14ac:dyDescent="0.25">
      <c r="A40" s="140" t="s">
        <v>464</v>
      </c>
      <c r="B40" s="141"/>
      <c r="C40" s="141"/>
      <c r="D40" s="141"/>
      <c r="E40" s="142"/>
      <c r="F40" s="59">
        <f>SUM('Stavební rozpočet'!BR12:BR227)</f>
        <v>0</v>
      </c>
      <c r="G40" s="60" t="s">
        <v>51</v>
      </c>
      <c r="H40" s="60" t="s">
        <v>51</v>
      </c>
      <c r="I40" s="59">
        <f t="shared" si="1"/>
        <v>0</v>
      </c>
    </row>
    <row r="41" spans="1:9" x14ac:dyDescent="0.25">
      <c r="A41" s="140" t="s">
        <v>465</v>
      </c>
      <c r="B41" s="141"/>
      <c r="C41" s="141"/>
      <c r="D41" s="141"/>
      <c r="E41" s="142"/>
      <c r="F41" s="59">
        <f>SUM('Stavební rozpočet'!BS12:BS227)</f>
        <v>0</v>
      </c>
      <c r="G41" s="60" t="s">
        <v>51</v>
      </c>
      <c r="H41" s="60" t="s">
        <v>51</v>
      </c>
      <c r="I41" s="59">
        <f t="shared" si="1"/>
        <v>0</v>
      </c>
    </row>
    <row r="42" spans="1:9" x14ac:dyDescent="0.25">
      <c r="A42" s="140" t="s">
        <v>501</v>
      </c>
      <c r="B42" s="141"/>
      <c r="C42" s="141"/>
      <c r="D42" s="141"/>
      <c r="E42" s="142"/>
      <c r="F42" s="59">
        <f>SUM('Stavební rozpočet'!BT12:BT227)</f>
        <v>0</v>
      </c>
      <c r="G42" s="60" t="s">
        <v>51</v>
      </c>
      <c r="H42" s="60" t="s">
        <v>51</v>
      </c>
      <c r="I42" s="59">
        <f t="shared" si="1"/>
        <v>0</v>
      </c>
    </row>
    <row r="43" spans="1:9" x14ac:dyDescent="0.25">
      <c r="A43" s="140" t="s">
        <v>502</v>
      </c>
      <c r="B43" s="141"/>
      <c r="C43" s="141"/>
      <c r="D43" s="141"/>
      <c r="E43" s="142"/>
      <c r="F43" s="59">
        <f>SUM('Stavební rozpočet'!BU12:BU227)</f>
        <v>0</v>
      </c>
      <c r="G43" s="60" t="s">
        <v>51</v>
      </c>
      <c r="H43" s="60" t="s">
        <v>51</v>
      </c>
      <c r="I43" s="59">
        <f t="shared" si="1"/>
        <v>0</v>
      </c>
    </row>
    <row r="44" spans="1:9" x14ac:dyDescent="0.25">
      <c r="A44" s="143" t="s">
        <v>503</v>
      </c>
      <c r="B44" s="144"/>
      <c r="C44" s="144"/>
      <c r="D44" s="144"/>
      <c r="E44" s="145"/>
      <c r="F44" s="61">
        <f>SUM('Stavební rozpočet'!BV12:BV227)</f>
        <v>0</v>
      </c>
      <c r="G44" s="62" t="s">
        <v>51</v>
      </c>
      <c r="H44" s="62" t="s">
        <v>51</v>
      </c>
      <c r="I44" s="61">
        <f t="shared" si="1"/>
        <v>0</v>
      </c>
    </row>
    <row r="45" spans="1:9" x14ac:dyDescent="0.25">
      <c r="A45" s="146" t="s">
        <v>504</v>
      </c>
      <c r="B45" s="147"/>
      <c r="C45" s="147"/>
      <c r="D45" s="147"/>
      <c r="E45" s="148"/>
      <c r="F45" s="63" t="s">
        <v>51</v>
      </c>
      <c r="G45" s="64" t="s">
        <v>51</v>
      </c>
      <c r="H45" s="64" t="s">
        <v>51</v>
      </c>
      <c r="I45" s="65">
        <f>SUM(I35:I44)</f>
        <v>0</v>
      </c>
    </row>
  </sheetData>
  <mergeCells count="60">
    <mergeCell ref="A41:E41"/>
    <mergeCell ref="A42:E42"/>
    <mergeCell ref="A43:E43"/>
    <mergeCell ref="A44:E44"/>
    <mergeCell ref="A45:E45"/>
    <mergeCell ref="A36:E36"/>
    <mergeCell ref="A37:E37"/>
    <mergeCell ref="A38:E38"/>
    <mergeCell ref="A39:E39"/>
    <mergeCell ref="A40:E40"/>
    <mergeCell ref="A29:E29"/>
    <mergeCell ref="F29:I29"/>
    <mergeCell ref="A33:E33"/>
    <mergeCell ref="A34:E34"/>
    <mergeCell ref="A35:E35"/>
    <mergeCell ref="A23:E23"/>
    <mergeCell ref="A24:E24"/>
    <mergeCell ref="A25:E25"/>
    <mergeCell ref="A26:E26"/>
    <mergeCell ref="A27:E27"/>
    <mergeCell ref="A17:E17"/>
    <mergeCell ref="A18:E18"/>
    <mergeCell ref="A20:E20"/>
    <mergeCell ref="A21:E21"/>
    <mergeCell ref="A22:E22"/>
    <mergeCell ref="I10:I11"/>
    <mergeCell ref="A13:E13"/>
    <mergeCell ref="A14:E14"/>
    <mergeCell ref="A15:E15"/>
    <mergeCell ref="A16:E16"/>
    <mergeCell ref="H10:H11"/>
    <mergeCell ref="C2:D3"/>
    <mergeCell ref="C4:D5"/>
    <mergeCell ref="C6:D7"/>
    <mergeCell ref="C8:D9"/>
    <mergeCell ref="C10:D11"/>
    <mergeCell ref="F2:G3"/>
    <mergeCell ref="F4:G5"/>
    <mergeCell ref="F6:G7"/>
    <mergeCell ref="F8:G9"/>
    <mergeCell ref="F10:G11"/>
    <mergeCell ref="A10:B11"/>
    <mergeCell ref="E2:E3"/>
    <mergeCell ref="E4:E5"/>
    <mergeCell ref="E6:E7"/>
    <mergeCell ref="E8:E9"/>
    <mergeCell ref="E10:E11"/>
    <mergeCell ref="A1:I1"/>
    <mergeCell ref="A2:B3"/>
    <mergeCell ref="A4:B5"/>
    <mergeCell ref="A6:B7"/>
    <mergeCell ref="A8:B9"/>
    <mergeCell ref="H2:H3"/>
    <mergeCell ref="H4:H5"/>
    <mergeCell ref="H6:H7"/>
    <mergeCell ref="H8:H9"/>
    <mergeCell ref="I2:I3"/>
    <mergeCell ref="I4:I5"/>
    <mergeCell ref="I6:I7"/>
    <mergeCell ref="I8:I9"/>
  </mergeCells>
  <pageMargins left="0.393999993801117" right="0.393999993801117" top="0.59100002050399802" bottom="0.59100002050399802" header="0" footer="0"/>
  <pageSetup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Stavební rozpočet</vt:lpstr>
      <vt:lpstr>Krycí list rozpočtu</vt:lpstr>
      <vt:lpstr>VORN</vt:lpstr>
      <vt:lpstr>vorn_sum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Jeništa, Miroslav</cp:lastModifiedBy>
  <dcterms:created xsi:type="dcterms:W3CDTF">2021-06-10T20:06:38Z</dcterms:created>
  <dcterms:modified xsi:type="dcterms:W3CDTF">2025-07-29T05:47:55Z</dcterms:modified>
</cp:coreProperties>
</file>