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Krycí list rozpočtu" sheetId="1" r:id="rId1"/>
    <sheet name="Stavební rozpočet - součet" sheetId="2" r:id="rId2"/>
    <sheet name="Stavební rozpočet" sheetId="3" r:id="rId3"/>
    <sheet name="Vytápění" sheetId="4" r:id="rId4"/>
    <sheet name="Primární okruh" sheetId="5" r:id="rId5"/>
    <sheet name="Elektroinstalace" sheetId="6" r:id="rId6"/>
    <sheet name="VORN" sheetId="7" state="hidden" r:id="rId7"/>
  </sheets>
  <definedNames>
    <definedName name="_xlnm_Print_Area" localSheetId="4">'Primární okruh'!$A$1:$X$87</definedName>
    <definedName name="_xlnm_Print_Area" localSheetId="3">'Vytápění'!$A$2:$O$144</definedName>
    <definedName name="Excel_BuiltIn_Print_Area" localSheetId="5">('Elektroinstalace'!#REF!,'Elektroinstalace'!$C$3:$Q$32,'Elektroinstalace'!$C$38:$Q$149)</definedName>
    <definedName name="Excel_BuiltIn_Print_Area" localSheetId="4">'Primární okruh'!$A$1:$X$87</definedName>
    <definedName name="Excel_BuiltIn_Print_Area" localSheetId="3">'Vytápění'!$A$2:$O$144</definedName>
    <definedName name="Excel_BuiltIn_Print_Titles" localSheetId="5">'Elektroinstalace'!$47:$47</definedName>
    <definedName name="_xlnm.Print_Titles" localSheetId="5">'Elektroinstalace'!$47:$47</definedName>
    <definedName name="_xlnm.Print_Area" localSheetId="5">('Elektroinstalace'!$C$2:$Q$2,'Elektroinstalace'!$C$3:$Q$32,'Elektroinstalace'!$C$38:$Q$149)</definedName>
    <definedName name="_xlnm.Print_Area" localSheetId="4">'Primární okruh'!$A$1:$X$87</definedName>
    <definedName name="_xlnm.Print_Area" localSheetId="3">'Vytápění'!$A$2:$O$144</definedName>
    <definedName name="vorn_sum">'VORN'!$I$45</definedName>
  </definedNames>
  <calcPr fullCalcOnLoad="1" fullPrecision="0"/>
</workbook>
</file>

<file path=xl/sharedStrings.xml><?xml version="1.0" encoding="utf-8"?>
<sst xmlns="http://schemas.openxmlformats.org/spreadsheetml/2006/main" count="2369" uniqueCount="1033">
  <si>
    <t>Krycí list rozpočtu</t>
  </si>
  <si>
    <t>Název stavby:</t>
  </si>
  <si>
    <t>Objednatel:</t>
  </si>
  <si>
    <t>IČO/DIČ:</t>
  </si>
  <si>
    <t>Druh stavby:</t>
  </si>
  <si>
    <t>Projektant:</t>
  </si>
  <si>
    <t>Lokalita:</t>
  </si>
  <si>
    <t>Zhotovitel:</t>
  </si>
  <si>
    <t>Začátek výstavby:</t>
  </si>
  <si>
    <t>Konec výstavby:</t>
  </si>
  <si>
    <t>Položek:</t>
  </si>
  <si>
    <t>JKSO:</t>
  </si>
  <si>
    <t>Zpracoval:</t>
  </si>
  <si>
    <t>Datum:</t>
  </si>
  <si>
    <t>Rozpočtové náklady v Kč</t>
  </si>
  <si>
    <t>A</t>
  </si>
  <si>
    <t>Základní rozpočtové náklady</t>
  </si>
  <si>
    <t>B</t>
  </si>
  <si>
    <t>Doplňkové náklady</t>
  </si>
  <si>
    <t>C</t>
  </si>
  <si>
    <t>Náklady na umístění stavby (NUS)</t>
  </si>
  <si>
    <t>HSV</t>
  </si>
  <si>
    <t>Dodávky</t>
  </si>
  <si>
    <t>Práce přesčas</t>
  </si>
  <si>
    <t>Zařízení staveniště</t>
  </si>
  <si>
    <t>Montáž</t>
  </si>
  <si>
    <t>Bez pevné podl.</t>
  </si>
  <si>
    <t>Mimostav. doprava</t>
  </si>
  <si>
    <t>PSV</t>
  </si>
  <si>
    <t>Kulturní památka</t>
  </si>
  <si>
    <t>Územní vlivy</t>
  </si>
  <si>
    <t>Provozní vlivy</t>
  </si>
  <si>
    <t>"M"</t>
  </si>
  <si>
    <t>Ostatní</t>
  </si>
  <si>
    <t>NUS z rozpočtu</t>
  </si>
  <si>
    <t>Ostatní materiál</t>
  </si>
  <si>
    <t>Přesun hmot a sutí</t>
  </si>
  <si>
    <t>ZRN celkem</t>
  </si>
  <si>
    <t>DN celkem</t>
  </si>
  <si>
    <t>NUS celkem</t>
  </si>
  <si>
    <t>DN celkem z obj.</t>
  </si>
  <si>
    <t>NUS celkem z obj.</t>
  </si>
  <si>
    <t>VORN celkem</t>
  </si>
  <si>
    <t>VORN celkem z obj.</t>
  </si>
  <si>
    <t>Základ 0%</t>
  </si>
  <si>
    <t>Základ 15%</t>
  </si>
  <si>
    <t>DPH 15%</t>
  </si>
  <si>
    <t>Celkem bez DPH</t>
  </si>
  <si>
    <t>Základ 21%</t>
  </si>
  <si>
    <t>DPH 21%</t>
  </si>
  <si>
    <t>Celkem včetně DPH</t>
  </si>
  <si>
    <t>Projektant</t>
  </si>
  <si>
    <t>Objednatel</t>
  </si>
  <si>
    <t>Zhotovitel</t>
  </si>
  <si>
    <t>Datum, razítko a podpis</t>
  </si>
  <si>
    <t>Poznámka:</t>
  </si>
  <si>
    <t>Stavební rozpočet - rekapitulace</t>
  </si>
  <si>
    <t>Doba výstavby:</t>
  </si>
  <si>
    <t xml:space="preserve"> </t>
  </si>
  <si>
    <t>20.10.2023</t>
  </si>
  <si>
    <t>Zpracováno dne:</t>
  </si>
  <si>
    <t>Kód</t>
  </si>
  <si>
    <t>Zkrácený popis</t>
  </si>
  <si>
    <t>Náklady (Kč) - dodávka</t>
  </si>
  <si>
    <t>Náklady (Kč) - Montáž</t>
  </si>
  <si>
    <t>Náklady (Kč) - celkem</t>
  </si>
  <si>
    <t>13</t>
  </si>
  <si>
    <t>Hloubené vykopávky</t>
  </si>
  <si>
    <t>T</t>
  </si>
  <si>
    <t>17</t>
  </si>
  <si>
    <t>Konstrukce ze zemin</t>
  </si>
  <si>
    <t>19</t>
  </si>
  <si>
    <t>Hloubení pro podzemní stěny, ražení a hloubení důlní</t>
  </si>
  <si>
    <t>27</t>
  </si>
  <si>
    <t>Základy</t>
  </si>
  <si>
    <t>31</t>
  </si>
  <si>
    <t>Zdi podpěrné a volné</t>
  </si>
  <si>
    <t>34</t>
  </si>
  <si>
    <t>Stěny a příčky</t>
  </si>
  <si>
    <t>61</t>
  </si>
  <si>
    <t>Úprava povrchů vnitřní</t>
  </si>
  <si>
    <t>63</t>
  </si>
  <si>
    <t>Podlahy a podlahové konstrukce</t>
  </si>
  <si>
    <t>64</t>
  </si>
  <si>
    <t>Výplně otvorů</t>
  </si>
  <si>
    <t>711</t>
  </si>
  <si>
    <t>Izolace proti vodě</t>
  </si>
  <si>
    <t>713</t>
  </si>
  <si>
    <t>Izolace tepelné</t>
  </si>
  <si>
    <t>721</t>
  </si>
  <si>
    <t>Vnitřní kanalizace</t>
  </si>
  <si>
    <t>731</t>
  </si>
  <si>
    <t>ÚT dle dílčího rozpočtu</t>
  </si>
  <si>
    <t>764</t>
  </si>
  <si>
    <t>Konstrukce klempířské</t>
  </si>
  <si>
    <t>766</t>
  </si>
  <si>
    <t>Konstrukce truhlářské</t>
  </si>
  <si>
    <t>767</t>
  </si>
  <si>
    <t>Konstrukce doplňkové stavební (zámečnické)</t>
  </si>
  <si>
    <t>771</t>
  </si>
  <si>
    <t>Podlahy z dlaždic</t>
  </si>
  <si>
    <t>781</t>
  </si>
  <si>
    <t>Obklady (keramické)</t>
  </si>
  <si>
    <t>784</t>
  </si>
  <si>
    <t>Malby</t>
  </si>
  <si>
    <t>90</t>
  </si>
  <si>
    <t>Hodinové zúčtovací sazby (HZS)</t>
  </si>
  <si>
    <t>95</t>
  </si>
  <si>
    <t>Různé dokončovací konstrukce a práce na pozemních stavbách</t>
  </si>
  <si>
    <t>96</t>
  </si>
  <si>
    <t>Bourání konstrukcí</t>
  </si>
  <si>
    <t>97</t>
  </si>
  <si>
    <t>Prorážení otvorů a ostatní bourací práce</t>
  </si>
  <si>
    <t>H01</t>
  </si>
  <si>
    <t>Budovy občanské výstavby</t>
  </si>
  <si>
    <t>M21</t>
  </si>
  <si>
    <t>Elektromontáže</t>
  </si>
  <si>
    <t>M46</t>
  </si>
  <si>
    <t>Zemní práce při montážích</t>
  </si>
  <si>
    <t>S</t>
  </si>
  <si>
    <t>Přesuny sutí</t>
  </si>
  <si>
    <t>VORN - Vedlejší a ostatní rozpočtové náklady</t>
  </si>
  <si>
    <t>F</t>
  </si>
  <si>
    <t>01VRN</t>
  </si>
  <si>
    <t>Průzkumy, geodetické a projektové práce</t>
  </si>
  <si>
    <t>03VRN</t>
  </si>
  <si>
    <t>04VRN</t>
  </si>
  <si>
    <t>Inženýrské činnosti</t>
  </si>
  <si>
    <t>Celkem:</t>
  </si>
  <si>
    <t>Stavební rozpočet</t>
  </si>
  <si>
    <t>MĚSTSKÁ KNIHOVNA</t>
  </si>
  <si>
    <t>MĚSTO RUMBURK</t>
  </si>
  <si>
    <t>ZMĚNA SYSTÉMU VYTÁPĚNÍ</t>
  </si>
  <si>
    <t>Ing. Jiří Drahota</t>
  </si>
  <si>
    <t>RUMBURK,TŘÍDA 9.KVĚTNA 150/29</t>
  </si>
  <si>
    <t>BUEDE VYBRÁN</t>
  </si>
  <si>
    <t>Ing. Jiří Drahota, Jiří Trojan</t>
  </si>
  <si>
    <t>Č</t>
  </si>
  <si>
    <t>MJ</t>
  </si>
  <si>
    <t>Množství</t>
  </si>
  <si>
    <t>Cena/MJ</t>
  </si>
  <si>
    <t>Náklady (Kč)</t>
  </si>
  <si>
    <t>Cenová</t>
  </si>
  <si>
    <t>ISWORK</t>
  </si>
  <si>
    <t>GROUPCODE</t>
  </si>
  <si>
    <t>VATTAX</t>
  </si>
  <si>
    <t>Rozměry</t>
  </si>
  <si>
    <t>(Kč)</t>
  </si>
  <si>
    <t>Dodávka</t>
  </si>
  <si>
    <t>Celkem</t>
  </si>
  <si>
    <t>soustava</t>
  </si>
  <si>
    <t>Přesuny</t>
  </si>
  <si>
    <t>Typ skupiny</t>
  </si>
  <si>
    <t>HSV mat</t>
  </si>
  <si>
    <t>HSV prac</t>
  </si>
  <si>
    <t>PSV mat</t>
  </si>
  <si>
    <t>PSV prac</t>
  </si>
  <si>
    <t>Mont mat</t>
  </si>
  <si>
    <t>Mont prac</t>
  </si>
  <si>
    <t>Ostatní mat.</t>
  </si>
  <si>
    <t>MAT</t>
  </si>
  <si>
    <t>WORK</t>
  </si>
  <si>
    <t>CELK</t>
  </si>
  <si>
    <t>1</t>
  </si>
  <si>
    <t>133201101R00</t>
  </si>
  <si>
    <t>Hloubení šachet v hor.3 do 100 m3</t>
  </si>
  <si>
    <t>m3</t>
  </si>
  <si>
    <t>RTS II / 2023</t>
  </si>
  <si>
    <t>13_</t>
  </si>
  <si>
    <t>1_</t>
  </si>
  <si>
    <t>_</t>
  </si>
  <si>
    <t>0,9*0,9*0,945</t>
  </si>
  <si>
    <t>místnost 017 pod základ</t>
  </si>
  <si>
    <t>0,9*0,9*1,1,65</t>
  </si>
  <si>
    <t>z venkovní strany</t>
  </si>
  <si>
    <t>RTS komentář:</t>
  </si>
  <si>
    <t>V položce je kalkulováno i svislé přemístění výkopku.</t>
  </si>
  <si>
    <t>2</t>
  </si>
  <si>
    <t>132201401R00</t>
  </si>
  <si>
    <t>Hloubený výkop pod základy v hor.3</t>
  </si>
  <si>
    <t>0,4*0,4*1,45</t>
  </si>
  <si>
    <t>Položka obsahuje přehození výkopku nebo naložení na ruční dopravní prostředek. Položka neobsahuje podchycení základového zdiva.</t>
  </si>
  <si>
    <t>3</t>
  </si>
  <si>
    <t>174101102R00</t>
  </si>
  <si>
    <t>Zásyp ruční se zhutněním</t>
  </si>
  <si>
    <t>17_</t>
  </si>
  <si>
    <t>0,9*0,9*0,515</t>
  </si>
  <si>
    <t>hutněný šterk  4-8</t>
  </si>
  <si>
    <t>0,8*0,8*0,515</t>
  </si>
  <si>
    <t>Položka obsahuje přemístění materiálu pro zásyp ze vzdálenosti do 15 m od hrany zasypávaného prostoru - bez použití strojů. Položka je určena pro sypané konstrukce vyplňující prostor pod úrovní terénu v prostorách, kde není možné použít těžkou mechanizaci</t>
  </si>
  <si>
    <t>4</t>
  </si>
  <si>
    <t>199000002R00</t>
  </si>
  <si>
    <t>Poplatek za skládku horniny 1- 4, č. dle katal. odpadů 17 05 04</t>
  </si>
  <si>
    <t>19_</t>
  </si>
  <si>
    <t>5</t>
  </si>
  <si>
    <t>274313611R00</t>
  </si>
  <si>
    <t>Beton základových pasů prostý C 16/20</t>
  </si>
  <si>
    <t>27_</t>
  </si>
  <si>
    <t>2_</t>
  </si>
  <si>
    <t>0,4*0,4*1,5</t>
  </si>
  <si>
    <t>pod základem</t>
  </si>
  <si>
    <t>0,9*0,9*0,4</t>
  </si>
  <si>
    <t>0,8*0,8*0,4</t>
  </si>
  <si>
    <t>Položka obsahuje náklady na dodávku a uložení betonu do připravené konstrukce. Bednění se oceňuje samostatně</t>
  </si>
  <si>
    <t>6</t>
  </si>
  <si>
    <t>317168122R00</t>
  </si>
  <si>
    <t>Překlad POROTHERM plochý 145 x 71 x 1250 mm</t>
  </si>
  <si>
    <t>kus</t>
  </si>
  <si>
    <t>31_</t>
  </si>
  <si>
    <t>3_</t>
  </si>
  <si>
    <t>otvor nových dveří 0.17</t>
  </si>
  <si>
    <t>V položkách překladů jsou zakalkulovány náklady na očištění podkladu pod překladem, navlhčení podkladu vodou, rozprostření malty pod ložnou plochou, osazení překladu do vodorovné polohy včetně začištění vytlačené malty. V položkách překladů plochých jsou zakalkulovány i náklady na montážní podepření překladu takové, aby vzdálenost mezi podporami nebo podporou a nosnou stěnou byla maximálně 1 m. Ztratné je kalkulováno ve výši 2 %. V položkách plochých překladů nejsou kalkulovány náklady na nadbetonávku a nadezdívku tlakové zóny. Tyto práce se oceňují samostatně položkami souboru 317 23 - 81.. Nadezdívka plochých překladů a 317 31 - 81.. Nadbetonování plochých překladů.</t>
  </si>
  <si>
    <t>7</t>
  </si>
  <si>
    <t>342255028R00</t>
  </si>
  <si>
    <t>Příčky z přesných porobetonových tvárnic tl. 150 mm</t>
  </si>
  <si>
    <t>m2</t>
  </si>
  <si>
    <t>34_</t>
  </si>
  <si>
    <t>3,66*3,05</t>
  </si>
  <si>
    <t>8</t>
  </si>
  <si>
    <t>347015119R00</t>
  </si>
  <si>
    <t>Předstěna SDK, tl.65mm,ocel.kce CW,1x DFRIH 12,5mm</t>
  </si>
  <si>
    <t>0,61*(12,10+11+1,4+6,08+2,66)</t>
  </si>
  <si>
    <t>zákryt potrubí vedené na povrchu</t>
  </si>
  <si>
    <t>2,6*0,78</t>
  </si>
  <si>
    <t>zákryt třístranný</t>
  </si>
  <si>
    <t>Předsazené stěny Rigips, volně stojící, systém OK11, samostatná ocelová konstrukce z profilů CW 50 a UW 50, 1x opláštěná, tl. 65 mm, s minerální izolací tl. 40 mm, vysokopevnostní desky Habito H tl. 12,5 mm. Požární odolnost EI 30. 3.22.00 HB</t>
  </si>
  <si>
    <t>9</t>
  </si>
  <si>
    <t>611421133R00</t>
  </si>
  <si>
    <t>Omítka vnitřní stropů , MVC, štuková</t>
  </si>
  <si>
    <t>61_</t>
  </si>
  <si>
    <t>6_</t>
  </si>
  <si>
    <t>63,34</t>
  </si>
  <si>
    <t>V položce jsou zakalkulovány náklady na pomocné pracovní lešení o výšce podlahy do 1900 mm a pro zatížení do 1,5 kPa</t>
  </si>
  <si>
    <t>10</t>
  </si>
  <si>
    <t>612421637R00</t>
  </si>
  <si>
    <t>Omítka vnitřní zdiva, MVC, štuková</t>
  </si>
  <si>
    <t>(3,66+3,66+5,4+5,4+4,7+4,7+6+6)*2,04</t>
  </si>
  <si>
    <t>3,66*3,04*2</t>
  </si>
  <si>
    <t>příčka 0.17</t>
  </si>
  <si>
    <t>Položka je určena pro jakýkoliv druh podkladu</t>
  </si>
  <si>
    <t>11</t>
  </si>
  <si>
    <t>612409991RT2</t>
  </si>
  <si>
    <t>Začištění omítek kolem oken,dveří apod.</t>
  </si>
  <si>
    <t>m</t>
  </si>
  <si>
    <t>(0,9+2+2)*2</t>
  </si>
  <si>
    <t>dveře</t>
  </si>
  <si>
    <t>(0,75+0,5+0,5)*2</t>
  </si>
  <si>
    <t>okno</t>
  </si>
  <si>
    <t>12</t>
  </si>
  <si>
    <t>612401291RT2</t>
  </si>
  <si>
    <t>Omítka malých ploch vnitřních stěn do 0,25 m2</t>
  </si>
  <si>
    <t>prostupy rozvodů,začištění</t>
  </si>
  <si>
    <t>V položce jsou zakalkulovány náklady na pomocné pracovní lešení o výšce podlahy do 1900 mm a pro zatížení do 1,5 kPa. Položka obsahuje cementový postřik, jádrovou omítku a štukovou omítku</t>
  </si>
  <si>
    <t>622434113RT1</t>
  </si>
  <si>
    <t>Omítkový sanační systém, třívrstvý</t>
  </si>
  <si>
    <t>(3,6+3,6+5,4+5,4+4,7+4,7+6+6)*1</t>
  </si>
  <si>
    <t>0.17,0.15</t>
  </si>
  <si>
    <t>Sanační systém je určen pro nízké zasolení. Systém je tvořen sanačním podhozem tl. 4 mm, jádrovou omítkou tl. 20 mm a štukovou omítkou tl. 2,5 mm. Na systém je možné aplikovat povrchovou úpravu (penetraci a nátěr). Systém splňuje požadavky WTA</t>
  </si>
  <si>
    <t>14</t>
  </si>
  <si>
    <t>631313611R00</t>
  </si>
  <si>
    <t>Mazanina betonová tl. 8 - 12 cm C 16/20</t>
  </si>
  <si>
    <t>63_</t>
  </si>
  <si>
    <t>0,9*0,9*0,1</t>
  </si>
  <si>
    <t>podkladní beton 0.17</t>
  </si>
  <si>
    <t>1,5*3,66*0,1</t>
  </si>
  <si>
    <t>0.03</t>
  </si>
  <si>
    <t>Položka je určena pro mazaninu hlazenou dřevěným hladítkem a to pro mazaninu krycí, popř. podkladní nebo vyrovnávací nebo plovoucí, pod potěry, vlýsky do asfaltu, pod podlahy. Položka je určena i pro betonový okapový chodníček budovy. Jeho podloží se oceňuje samostatně. V položce jsou zakalkulovány i náklady na vytvoření dilatačních spár v mazanině bez zaplnění. Tyto náklady se oceňují položkami souboru 63460 Zaplnění dilatačních spár v mazaninách</t>
  </si>
  <si>
    <t>15</t>
  </si>
  <si>
    <t>631313311R00</t>
  </si>
  <si>
    <t>Mazanina betonová tl. 8 - 12 cm C -/7,5</t>
  </si>
  <si>
    <t>0,9*0,9*0,04</t>
  </si>
  <si>
    <t>vrchní</t>
  </si>
  <si>
    <t>16</t>
  </si>
  <si>
    <t>631312141R00</t>
  </si>
  <si>
    <t>Doplnění rýh betonem v dosavadních mazaninách</t>
  </si>
  <si>
    <t>13,62*0,3*0,3</t>
  </si>
  <si>
    <t>641952211R00</t>
  </si>
  <si>
    <t>Osazení rámů okenních dřevěných, plocha do 2,5 m2,včetně dodávky okna</t>
  </si>
  <si>
    <t>64_</t>
  </si>
  <si>
    <t>výkres č.01,dle popisu bod 1</t>
  </si>
  <si>
    <t>18</t>
  </si>
  <si>
    <t>642952110R00</t>
  </si>
  <si>
    <t>Osazení zárubní a dveřního křídla , dřevěných, pl. do 2,5 m2 s dodávkou</t>
  </si>
  <si>
    <t>výkres č.01 ,výrobek dle bodu 2.</t>
  </si>
  <si>
    <t>711111001RZ1</t>
  </si>
  <si>
    <t>Provedení izolace proti vlhkosti na ploše vodorovné, 1x asfaltovým penetračním nátěrem</t>
  </si>
  <si>
    <t>711_</t>
  </si>
  <si>
    <t>71_</t>
  </si>
  <si>
    <t>1,1*1,1</t>
  </si>
  <si>
    <t>s přesahy</t>
  </si>
  <si>
    <t>Plochy izolací jednotlivě menší než 10 m2 se oceňují s příplatkem položka číslo 711 19 - 9095. Při stanovení množství izolace se z celkového množství neodečítají otvory nebo neizolované plochy menší než 2 m2.  V položce jsou zakalkulovány i náklady na dodávku ALP v množství 0,33 kg/m2</t>
  </si>
  <si>
    <t>20</t>
  </si>
  <si>
    <t>711141559RY1</t>
  </si>
  <si>
    <t>Provedení izolace proti vlhkosti na ploše vodorovné, asfaltovými pásy přitavením</t>
  </si>
  <si>
    <t>včetně přesahů,včetně materiálu</t>
  </si>
  <si>
    <t>Plochy izolací jednotlivě menší než 10 m2 se oceňují s příplatkem položka číslo 711 19 - 9097.Při stanovení množství izolace se z celkového množství neodečítají otvory nebo neizolované plochy menší než 2 m2</t>
  </si>
  <si>
    <t>21</t>
  </si>
  <si>
    <t>711777278R00</t>
  </si>
  <si>
    <t>Opracování prostupů přírub termoplasty, D do 200 mm</t>
  </si>
  <si>
    <t>tvarovka prostupu</t>
  </si>
  <si>
    <t>Doporučená spotřeba 0,6 kg tmelu na jeden prostup</t>
  </si>
  <si>
    <t>22</t>
  </si>
  <si>
    <t>713101323R00</t>
  </si>
  <si>
    <t>Odstranění tepelné izolace stropů a podhledů, z desek minerálních, tl. nad 200 mm</t>
  </si>
  <si>
    <t>713_</t>
  </si>
  <si>
    <t>3,75*3,66*1,3</t>
  </si>
  <si>
    <t>strop 0.17</t>
  </si>
  <si>
    <t>3,75*3,66</t>
  </si>
  <si>
    <t>podlaha 0.17</t>
  </si>
  <si>
    <t>4,7*3,75*1,3</t>
  </si>
  <si>
    <t>strop 0.15</t>
  </si>
  <si>
    <t>4,7*3,75</t>
  </si>
  <si>
    <t>podlaha 0.15</t>
  </si>
  <si>
    <t>23</t>
  </si>
  <si>
    <t>713103123R00</t>
  </si>
  <si>
    <t>Odstranění tepelné izolace stěn, volně uložené, z desek minerálních, tl. nad 200 mm</t>
  </si>
  <si>
    <t>(3,75+3,75+3,66+3,66)*3,04</t>
  </si>
  <si>
    <t>0.17</t>
  </si>
  <si>
    <t>(3,75+3,75+4,7+4,7)*3,04</t>
  </si>
  <si>
    <t>0.15</t>
  </si>
  <si>
    <t>24</t>
  </si>
  <si>
    <t>979011221R00</t>
  </si>
  <si>
    <t>Svislá doprava suti a vybour. hmot za 1.PP nošením</t>
  </si>
  <si>
    <t>t</t>
  </si>
  <si>
    <t>2,114</t>
  </si>
  <si>
    <t>Položka je určena pro dopravu suti a vybouraných hmot za prvé podlaží  pod základním podlažím. Svislá doprava suti ze základního podlaží se neoceňuje. Základním podlažím je zpravidla přízemí</t>
  </si>
  <si>
    <t>25</t>
  </si>
  <si>
    <t>979082111R00</t>
  </si>
  <si>
    <t>Vnitrostaveništní doprava suti do 10 m</t>
  </si>
  <si>
    <t>Včetně případného složení na staveništní deponii</t>
  </si>
  <si>
    <t>26</t>
  </si>
  <si>
    <t>979083114R00</t>
  </si>
  <si>
    <t>Vodorovné přemístění suti na skládku do 3000 m</t>
  </si>
  <si>
    <t>Pro volbu položky je rozhodující dopravní vzdálenost těžiště skládky a půdorysné plochy objektu. V položce jsou zakalkulovány i náklady na naložení suti na dopravní prostředek a složení</t>
  </si>
  <si>
    <t>979086112R00</t>
  </si>
  <si>
    <t>Nakládání nebo překládání suti a vybouraných hmot</t>
  </si>
  <si>
    <t>28</t>
  </si>
  <si>
    <t>979990144R00</t>
  </si>
  <si>
    <t>Poplatek za uložení suti - minerální vata, skupina odpadu 170604</t>
  </si>
  <si>
    <t>29</t>
  </si>
  <si>
    <t>713121121R00</t>
  </si>
  <si>
    <t>Montáž tepelné izolace podlah na sucho, dvouvrstvá</t>
  </si>
  <si>
    <t>1,5*3,66</t>
  </si>
  <si>
    <t>V položce není zakalkulována dodávka izolačního materiálu. Tato dodávka se oceňuje ve specifikaci. Při stanovení množství tepelné izolace se z celkového množství neodečítají otvory nebo neizolované plochy menší než 2 m2</t>
  </si>
  <si>
    <t>30</t>
  </si>
  <si>
    <t>2837639902</t>
  </si>
  <si>
    <t>Deska polystyrénová EPS 150S tl. 200 x 600 x 1250 mm</t>
  </si>
  <si>
    <t>;ztratné 2%; 0,1098</t>
  </si>
  <si>
    <t>713121411RAA</t>
  </si>
  <si>
    <t>Izolace podlah, systém Isover STEPcross</t>
  </si>
  <si>
    <t>5,85*18,55</t>
  </si>
  <si>
    <t>výška 160mm,včetně záklopu z OSB desek dle PD</t>
  </si>
  <si>
    <t>9,3*8,26</t>
  </si>
  <si>
    <t>Položka obsahuje dodávku a montáž: - parozábrany včetně vytažení na stěny - nosných EPS křížů a EPS trámů - vyrovnání nerovností broušením - slepení spojů mezi trámy a kříži PUR lepidlem - prken na PUR lepidlo pro montáž záklopu - záklopu z OSB desek</t>
  </si>
  <si>
    <t>32</t>
  </si>
  <si>
    <t>713191100RT9</t>
  </si>
  <si>
    <t>Položení separační fólie</t>
  </si>
  <si>
    <t>185,335</t>
  </si>
  <si>
    <t>V položce jsou zakalkulovány náklady na dodávku folie.</t>
  </si>
  <si>
    <t>33</t>
  </si>
  <si>
    <t>713121111RT1</t>
  </si>
  <si>
    <t>Montáž tepelné izolace podlah na sucho, jednovrstvá</t>
  </si>
  <si>
    <t>2,5*25,83</t>
  </si>
  <si>
    <t>3.01,3.02,3.03,3.04</t>
  </si>
  <si>
    <t>2,5*(7+7,9+2,9)</t>
  </si>
  <si>
    <t>998713103R00</t>
  </si>
  <si>
    <t>Přesun hmot pro izolace tepelné, výšky do 24 m</t>
  </si>
  <si>
    <t>4,438</t>
  </si>
  <si>
    <t>35</t>
  </si>
  <si>
    <t>721176102R00</t>
  </si>
  <si>
    <t>Potrubí HT připojovací, D 40 x 1,8 mm</t>
  </si>
  <si>
    <t>721_</t>
  </si>
  <si>
    <t>72_</t>
  </si>
  <si>
    <t>2,66+3,75+1,65+3,66+1</t>
  </si>
  <si>
    <t>0.17 , 0.03</t>
  </si>
  <si>
    <t>36</t>
  </si>
  <si>
    <t>721170902R00</t>
  </si>
  <si>
    <t>Provedení opravy vnitřní kanalizace, potrubí plastové, vsazení odbočky, D 40 mm</t>
  </si>
  <si>
    <t>připojení na stávající kanalizaci</t>
  </si>
  <si>
    <t>37</t>
  </si>
  <si>
    <t>721194104R00</t>
  </si>
  <si>
    <t>Vyvedení odpadních výpustek, D 40 x 1,8 mm</t>
  </si>
  <si>
    <t>38</t>
  </si>
  <si>
    <t>725860211R00</t>
  </si>
  <si>
    <t>Sifon</t>
  </si>
  <si>
    <t>39</t>
  </si>
  <si>
    <t>731249 R-02</t>
  </si>
  <si>
    <t>Ústřední vytápění dle dílčího rozpočtu</t>
  </si>
  <si>
    <t>soubor</t>
  </si>
  <si>
    <t>731_</t>
  </si>
  <si>
    <t>73_</t>
  </si>
  <si>
    <t>Položka je určena pro ocenění ÚT dle rozpisu</t>
  </si>
  <si>
    <t>40</t>
  </si>
  <si>
    <t>4847610 R-01</t>
  </si>
  <si>
    <t>Primární okruh pro TČ dle dílčího rozpočtu</t>
  </si>
  <si>
    <t>soub</t>
  </si>
  <si>
    <t>D.1.45 dle přiloženého rozpisu</t>
  </si>
  <si>
    <t>41</t>
  </si>
  <si>
    <t>764510250RT2</t>
  </si>
  <si>
    <t>Oplechování parapetů včetně rohů z Cu, rš 330 mm</t>
  </si>
  <si>
    <t>764_</t>
  </si>
  <si>
    <t>76_</t>
  </si>
  <si>
    <t>0,75</t>
  </si>
  <si>
    <t>42</t>
  </si>
  <si>
    <t>766660044RA0</t>
  </si>
  <si>
    <t>Demontáž a zpětná montáž dveří a obložkové zárubně šířky 80 cm</t>
  </si>
  <si>
    <t>766_</t>
  </si>
  <si>
    <t>poznámka č.3</t>
  </si>
  <si>
    <t>Položka obsahuje:demontáž, montáž, vyrovnání a zapěnování obložkové zárubně, osazení a vyvážení dveří, montáž kliky a štítku, osazení a dodávku prahu. Bez dodávky dveří, zárubně a kování.</t>
  </si>
  <si>
    <t>43</t>
  </si>
  <si>
    <t>766441111R00</t>
  </si>
  <si>
    <t>Položení a dodávka  masivní  dubové desky tl.24mm  na podkladní rošt s nátěrem š.240mm</t>
  </si>
  <si>
    <t>12,10+11,60+1,4+6,08+2,66+0,3+0,3</t>
  </si>
  <si>
    <t>zaoblená hrana</t>
  </si>
  <si>
    <t>včetně  položení podkladního roštu do štěrkového lože, nebo na rovný pevný povrch, položení palubek a upevnění nerezovými šrouby skrytým spojem. Bez povrchové úpravy nátěrem</t>
  </si>
  <si>
    <t>44</t>
  </si>
  <si>
    <t>998766103R00</t>
  </si>
  <si>
    <t>Přesun hmot pro truhlářské konstr., výšky do 24 m</t>
  </si>
  <si>
    <t>0,011</t>
  </si>
  <si>
    <t>45</t>
  </si>
  <si>
    <t>767112812R00</t>
  </si>
  <si>
    <t>Demontáž stěn svařovaných-konstrukce a kovové prvky AKURY</t>
  </si>
  <si>
    <t>767_</t>
  </si>
  <si>
    <t>rozřezáním do šrotu místnst 0.17 a 0.15</t>
  </si>
  <si>
    <t>46</t>
  </si>
  <si>
    <t>3,36</t>
  </si>
  <si>
    <t>47</t>
  </si>
  <si>
    <t>48</t>
  </si>
  <si>
    <t>49</t>
  </si>
  <si>
    <t>979951111R00</t>
  </si>
  <si>
    <t>Výkup kovů - železný šrot tl. do 4 mm</t>
  </si>
  <si>
    <t>https://www.druhotnesuroviny.c</t>
  </si>
  <si>
    <t>50</t>
  </si>
  <si>
    <t>771101116R00</t>
  </si>
  <si>
    <t>Vyrovnání podkladů samonivelační hmotou tloušťky do 30 mm</t>
  </si>
  <si>
    <t>771_</t>
  </si>
  <si>
    <t>77_</t>
  </si>
  <si>
    <t>4,7*6</t>
  </si>
  <si>
    <t>13,62*0,3</t>
  </si>
  <si>
    <t>doplnění v trase potrubí</t>
  </si>
  <si>
    <t>Položka je určena pro vyrovnání podlahy před kladením dlaždic na maltu nebo na tmel. Položka obsahuje :  - zametení podkladu, - rozmíchání suché směsi s vodou, - lití na podklad, popřípadě rozetření hladkou stěrkou. Položka neobsahuje materiál.</t>
  </si>
  <si>
    <t>51</t>
  </si>
  <si>
    <t>771130111R00</t>
  </si>
  <si>
    <t>Obklad soklíků rovných do tmele výšky do 100 mm</t>
  </si>
  <si>
    <t>3,75+3,75+3,66+3,66</t>
  </si>
  <si>
    <t>12,10+6,08+2,66+11+0,30+0,30</t>
  </si>
  <si>
    <t>Položka je určena pro kladení soklíků rovných do tmele. Položka obsahuje :  - rozbalení balíků, třídění nebo rozpojení dlaždic nebo obkladaček dodávaných v blocích, - příprava a nanesení tmele na plochu, - řezání dlaždic - kladení dlaždic nebo obkladaček, - spárování, čištění soklíku, odstranění odpadu,včetně materiálů</t>
  </si>
  <si>
    <t>52</t>
  </si>
  <si>
    <t>771212112R00</t>
  </si>
  <si>
    <t>Kladení dlažby keramické do TM, vel. do 200x200 mm</t>
  </si>
  <si>
    <t>46,01+1,5*3,66</t>
  </si>
  <si>
    <t>Položka je určena pro kladení dlažby do tmele, rovnoběžně se stěnou, bez skládání složitých vzorů a tvarů.. Položka obsahuje :  - zametení podkladu, - rozměření plochy,  - rozbalení balíků, třídění nebo rozpojení dlaždic dodávaných v blocích, - příprava a nanesení tmele na plochu, - řezání dlaždic, - kladení dlaždic, - spárování, čištění dlažby, odstranění odpadu. Položka neobsahuje žádný materiál. Skládání složitých vzorů a tvarů se oceňuje individuálně.</t>
  </si>
  <si>
    <t>53</t>
  </si>
  <si>
    <t>59764230</t>
  </si>
  <si>
    <t>Dlažba Taurus tmavě šedá 200 x 200 x 9 mm dle TS</t>
  </si>
  <si>
    <t>51,50</t>
  </si>
  <si>
    <t>;ztratné 6%; 3,09</t>
  </si>
  <si>
    <t>Slinuté neglazované obkladové prvky s velmi nízkou nasákavostí pod 0,5 %, určené k obkladům podlah v exteriérech a interiérech, které jsou vystaveny povětrnostním vlivům a vysokému až extremnímu mechanickému namáhání, obrusu a znečištění.  TR726076 Série TAURUS GRANIT dlaždice slinutá, neglazovaná 20 x 20 cm, šed</t>
  </si>
  <si>
    <t>54</t>
  </si>
  <si>
    <t>771101210R00</t>
  </si>
  <si>
    <t>Penetrace podkladu pod dlažby</t>
  </si>
  <si>
    <t>Položka obsahuje montáž a dodávku penetračního nátěru pro zlepšení kontaktu s lepicím tmelem.</t>
  </si>
  <si>
    <t>55</t>
  </si>
  <si>
    <t>771101310R00</t>
  </si>
  <si>
    <t>Vyčištění keramické dlažby</t>
  </si>
  <si>
    <t>51,5</t>
  </si>
  <si>
    <t>Položka je určena pro očištění a odmaštěšní keramické dlažby. Obsahuje nanesení čisticího přípravku, prokartáčování a umytí prostředku z povrchu dlažby včetně dodávky prostředku..</t>
  </si>
  <si>
    <t>56</t>
  </si>
  <si>
    <t>998771103R00</t>
  </si>
  <si>
    <t>Přesun hmot pro podlahy z dlaždic, výšky do 24 m</t>
  </si>
  <si>
    <t>1,063</t>
  </si>
  <si>
    <t>57</t>
  </si>
  <si>
    <t>781320121R00</t>
  </si>
  <si>
    <t>Obkládání parapetů do tmele šířky do 300 mm</t>
  </si>
  <si>
    <t>781_</t>
  </si>
  <si>
    <t>78_</t>
  </si>
  <si>
    <t>Položka je určena pro obkládání parapetů z obkladaček pórovinových, keramických, hutných i polohutných, do tmele. Položka platí pro položení obkladaček v jedné řadě. Položení obkladaček ve více řadách se oceňuje součtem délek jednotlivých řad. Položka obsahuje: - očištění podkladu od nesoudržných částic,  - rozměření plochy,  - rozbalení balíků, třídění nebo rozpojení obkladaček dodávaných v blocích, - příprava a nanesení tmelu na plochu, - řezání obkladaček, - kladení obkladaček, - spárování, čištění obkladu, odnesení odpadu na vykázané místo. Položka neobsahuje žádný materiál. Skládání složitých vzorů a tvarů se oceňuje individuálně.</t>
  </si>
  <si>
    <t>58</t>
  </si>
  <si>
    <t>784161701R00</t>
  </si>
  <si>
    <t>Penetrace podkladu nátěrem Hetline Forte, 1 x</t>
  </si>
  <si>
    <t>784_</t>
  </si>
  <si>
    <t>11,163+22,304+63,34+102,873+39,40</t>
  </si>
  <si>
    <t>Univerzální hrubozrnná akrylátová disperzní bílá matná barva na sádrokarton k okamžitému použití do vnitřních prostor, čistitelná vodou, paropropustná, odolná vůči otěru za sucha, vodou ředitelná, rychleschnoucí, doporučovaná na systémy KNAUF, RIGIPS, LAFARGE GIPS aj. Pro základní napouštěcí nátěr se ředí max. 0,1 l čisté vody na 1 kg barvy.</t>
  </si>
  <si>
    <t>59</t>
  </si>
  <si>
    <t>784164121R00</t>
  </si>
  <si>
    <t>Malba HET univerzál.,bez penetr.1x</t>
  </si>
  <si>
    <t>239,08</t>
  </si>
  <si>
    <t>Disperzní nátěr určený pro použití v interiérech i exteriérech, omyvatelný..  V položce je zakalkulováno i případné tmelení latexovým tmelem. Styk dvou barev se oceňuje položkou 784 43 - 9001 této části sborníku</t>
  </si>
  <si>
    <t>60</t>
  </si>
  <si>
    <t>912      R00</t>
  </si>
  <si>
    <t>Hzs - Zedník tř.7-stavební výpomoce pro řemesla</t>
  </si>
  <si>
    <t>h</t>
  </si>
  <si>
    <t>90_</t>
  </si>
  <si>
    <t>9_</t>
  </si>
  <si>
    <t>952901111R00</t>
  </si>
  <si>
    <t>Vyčištění budov o výšce podlaží do 4 m</t>
  </si>
  <si>
    <t>95_</t>
  </si>
  <si>
    <t>13,73</t>
  </si>
  <si>
    <t>5,82</t>
  </si>
  <si>
    <t>22,02</t>
  </si>
  <si>
    <t>66,21</t>
  </si>
  <si>
    <t>20,31</t>
  </si>
  <si>
    <t>28,14</t>
  </si>
  <si>
    <t>Položka je určena pro vyčištění budov bytové nebo občanské výstavby - zametení a umytí podlah, dlažeb, obkladů,</t>
  </si>
  <si>
    <t>62</t>
  </si>
  <si>
    <t>962031116R00</t>
  </si>
  <si>
    <t>Bourání příček z cihel pálených plných tl. 140 mm</t>
  </si>
  <si>
    <t>96_</t>
  </si>
  <si>
    <t>3,66*3,04</t>
  </si>
  <si>
    <t>4,7*3,04</t>
  </si>
  <si>
    <t>0,9*2,00</t>
  </si>
  <si>
    <t>pro dveře č.2</t>
  </si>
  <si>
    <t>962032231R00</t>
  </si>
  <si>
    <t>Bourání zdiva z cihel pálených na MVC</t>
  </si>
  <si>
    <t>0,75*0,55*0,35</t>
  </si>
  <si>
    <t>okno č.1</t>
  </si>
  <si>
    <t>V položce není kalkulována manipulace se sutí, která se oceňuje samostatně položkami souboru 979</t>
  </si>
  <si>
    <t>965041321R00</t>
  </si>
  <si>
    <t>Bourání lehčených mazanin, tl.10 cm, pl. 1 m2</t>
  </si>
  <si>
    <t>0,9*0,9*0,195</t>
  </si>
  <si>
    <t>místnost 017</t>
  </si>
  <si>
    <t>V položce není kalkulována manipulace se sutí, která se oceňuje samostatně položkami souboru 979. V položce nejsou zakalkulovány náklady na bourání podkladního lože podlah nebo dlažeb.</t>
  </si>
  <si>
    <t>65</t>
  </si>
  <si>
    <t>974042587R00</t>
  </si>
  <si>
    <t>Vysekání rýh v podlaze betonové, 30x30 cm</t>
  </si>
  <si>
    <t>97_</t>
  </si>
  <si>
    <t>1,82+1,4+1,4+9</t>
  </si>
  <si>
    <t>V položce není kalkulována manipulace se sutí, která se oceňuje samostatně položkami souboru 979.</t>
  </si>
  <si>
    <t>66</t>
  </si>
  <si>
    <t>978013191R00</t>
  </si>
  <si>
    <t>Otlučení omítek vnitřních stěn v rozsahu do 100 %</t>
  </si>
  <si>
    <t>(3,66+3,66+5,4+5,4)*3,04</t>
  </si>
  <si>
    <t>(4,7+4,7+6+6)*3,04</t>
  </si>
  <si>
    <t>S vyškrabáním spár, s očištěním zdiva. V položce není kalkulována manipulace se sutí, která se oceňuje samostatně položkami souboru 979.</t>
  </si>
  <si>
    <t>67</t>
  </si>
  <si>
    <t>978011191R00</t>
  </si>
  <si>
    <t>Otlučení omítek vnitřních vápenných stropů do 100%</t>
  </si>
  <si>
    <t>3,66*5,4*1,35</t>
  </si>
  <si>
    <t>6*4,7*1,3</t>
  </si>
  <si>
    <t>68</t>
  </si>
  <si>
    <t>998011003R00</t>
  </si>
  <si>
    <t>Přesun hmot pro budovy zděné výšky do 24 m</t>
  </si>
  <si>
    <t>H01_</t>
  </si>
  <si>
    <t>1,615+9,528+4,655+0,050</t>
  </si>
  <si>
    <t>69</t>
  </si>
  <si>
    <t>210010 R-03</t>
  </si>
  <si>
    <t>Elektroinstalace dle přiloženého dílčího rozpočtu</t>
  </si>
  <si>
    <t>M21_</t>
  </si>
  <si>
    <t>70</t>
  </si>
  <si>
    <t>460620013R00</t>
  </si>
  <si>
    <t>Provizorní úprava terénu v přírodní hornině 3</t>
  </si>
  <si>
    <t>M46_</t>
  </si>
  <si>
    <t>(150+13)*3</t>
  </si>
  <si>
    <t>po výkopech</t>
  </si>
  <si>
    <t>71</t>
  </si>
  <si>
    <t>460620006RT1</t>
  </si>
  <si>
    <t>Osetí povrchu trávou</t>
  </si>
  <si>
    <t>150*3</t>
  </si>
  <si>
    <t>72</t>
  </si>
  <si>
    <t>460620031R00</t>
  </si>
  <si>
    <t>Položení a zhutnění štětových komunikací</t>
  </si>
  <si>
    <t>13*3</t>
  </si>
  <si>
    <t>úprava po překopech</t>
  </si>
  <si>
    <t>S_</t>
  </si>
  <si>
    <t>9,212+10,94</t>
  </si>
  <si>
    <t>20,152</t>
  </si>
  <si>
    <t>979990101R00</t>
  </si>
  <si>
    <t>Poplatek za uložení směsi betonu a cihel skupina 170101 a 170102</t>
  </si>
  <si>
    <t>979095312R00</t>
  </si>
  <si>
    <t>Naložení a složení suti</t>
  </si>
  <si>
    <t>78</t>
  </si>
  <si>
    <t>012002VRN</t>
  </si>
  <si>
    <t>Geodetické zaměření</t>
  </si>
  <si>
    <t>Soubor</t>
  </si>
  <si>
    <t>99</t>
  </si>
  <si>
    <t>01VRN_</t>
  </si>
  <si>
    <t> _</t>
  </si>
  <si>
    <t>Vrtů a tras primárního okruhu</t>
  </si>
  <si>
    <t>79</t>
  </si>
  <si>
    <t>013002VRN</t>
  </si>
  <si>
    <t>Projektové práce skutečného provedení</t>
  </si>
  <si>
    <t>030001VRN</t>
  </si>
  <si>
    <t>Zařízení staveniště  1% ze ZRN</t>
  </si>
  <si>
    <t>03VRN_</t>
  </si>
  <si>
    <t>034002VRN</t>
  </si>
  <si>
    <t>Zabezpečení staveniště</t>
  </si>
  <si>
    <t>043002VRN</t>
  </si>
  <si>
    <t>Zkoušky</t>
  </si>
  <si>
    <t>04VRN_</t>
  </si>
  <si>
    <t>ROZPOČET – VYTÁPĚNÍ</t>
  </si>
  <si>
    <t>Položka</t>
  </si>
  <si>
    <t xml:space="preserve"> materiál </t>
  </si>
  <si>
    <t xml:space="preserve"> montáž </t>
  </si>
  <si>
    <t>cena</t>
  </si>
  <si>
    <t xml:space="preserve"> celkem </t>
  </si>
  <si>
    <t>ZAŘÍZENÍ</t>
  </si>
  <si>
    <t>1.</t>
  </si>
  <si>
    <t>Tepelné čerpadlo země- voda</t>
  </si>
  <si>
    <t>včetně čidel, regulátoru, vzdáleného přístupu a zprovoznění</t>
  </si>
  <si>
    <t>jm. výkon při 0/55°C</t>
  </si>
  <si>
    <t>kW</t>
  </si>
  <si>
    <t>COP při 0/55°C</t>
  </si>
  <si>
    <t>SCOP</t>
  </si>
  <si>
    <t>vestavěný elektrokotel</t>
  </si>
  <si>
    <t>max. výstupní teplota</t>
  </si>
  <si>
    <t>°C</t>
  </si>
  <si>
    <t>max. příkon kompresoru</t>
  </si>
  <si>
    <t>max. provozní proud</t>
  </si>
  <si>
    <t>akust. výkon</t>
  </si>
  <si>
    <t>dB (A)</t>
  </si>
  <si>
    <t>napětí</t>
  </si>
  <si>
    <t>V</t>
  </si>
  <si>
    <t xml:space="preserve">rozměry </t>
  </si>
  <si>
    <t>700x760x1620mm</t>
  </si>
  <si>
    <t>hmotnost</t>
  </si>
  <si>
    <t>kg</t>
  </si>
  <si>
    <t>ks</t>
  </si>
  <si>
    <t>2.</t>
  </si>
  <si>
    <t>3.</t>
  </si>
  <si>
    <t>Závěsný elektrokotel</t>
  </si>
  <si>
    <t>jm. výkon</t>
  </si>
  <si>
    <t>2,3-21</t>
  </si>
  <si>
    <t>4.</t>
  </si>
  <si>
    <t>Akumulační zásobník včetně izolace</t>
  </si>
  <si>
    <t>objem</t>
  </si>
  <si>
    <t>l</t>
  </si>
  <si>
    <t>5.</t>
  </si>
  <si>
    <t>Expanzní nádoba sekundární okruh</t>
  </si>
  <si>
    <t>6.</t>
  </si>
  <si>
    <t>Oběhové čerpadlo</t>
  </si>
  <si>
    <t>DN 32/0,35-12</t>
  </si>
  <si>
    <t>průtok</t>
  </si>
  <si>
    <t>m3/h</t>
  </si>
  <si>
    <t>dopravní výška</t>
  </si>
  <si>
    <t>příkon</t>
  </si>
  <si>
    <t>W</t>
  </si>
  <si>
    <t>Napětí</t>
  </si>
  <si>
    <t>7.</t>
  </si>
  <si>
    <t>Termohydrulický oddělovač do 70kW</t>
  </si>
  <si>
    <t>ref. výrobek MEIBES 5/4"</t>
  </si>
  <si>
    <t>8.</t>
  </si>
  <si>
    <t>Rozdělovač a sběrač do 70 kW včetně izolace a podpěr</t>
  </si>
  <si>
    <t>2 okruhy  6/4"</t>
  </si>
  <si>
    <t>9.</t>
  </si>
  <si>
    <t>Čerpadlová skupina směšovanÁ</t>
  </si>
  <si>
    <t>DN 32,  kvs 10,0m3/h</t>
  </si>
  <si>
    <t>šerpadlo DN32 32-60</t>
  </si>
  <si>
    <t>10.</t>
  </si>
  <si>
    <t>Trojcestný přepínací ventil s pohonem</t>
  </si>
  <si>
    <t>DN 50</t>
  </si>
  <si>
    <t>11.</t>
  </si>
  <si>
    <t>Expanzní nádoba s vakem - primární okruh</t>
  </si>
  <si>
    <t>12.</t>
  </si>
  <si>
    <t>Napouštěcí sestava</t>
  </si>
  <si>
    <t>1 x kulový kohout DN 50</t>
  </si>
  <si>
    <t>2 x kulový kohout DN 25</t>
  </si>
  <si>
    <t>ARMATURY</t>
  </si>
  <si>
    <t>Kulový kohout</t>
  </si>
  <si>
    <t>DN 40</t>
  </si>
  <si>
    <t>Kulový kohout s filtrem</t>
  </si>
  <si>
    <t>Kulový kohout se zajištěním</t>
  </si>
  <si>
    <t>DN 20</t>
  </si>
  <si>
    <t>DN 25</t>
  </si>
  <si>
    <t>Magnetický odlučovač nečistot</t>
  </si>
  <si>
    <t>Zpětná klapka</t>
  </si>
  <si>
    <t>Vypouštěcí kulový kohout</t>
  </si>
  <si>
    <t>DN 15</t>
  </si>
  <si>
    <t>Automatický odvdušňovací ventil se zpětnou klapkou</t>
  </si>
  <si>
    <t>Manometr se zpětnou klapkou</t>
  </si>
  <si>
    <t>rozsah</t>
  </si>
  <si>
    <t>0-4</t>
  </si>
  <si>
    <t>bar</t>
  </si>
  <si>
    <t>Termomanometr</t>
  </si>
  <si>
    <t>0-120</t>
  </si>
  <si>
    <t>POTRUBÍ</t>
  </si>
  <si>
    <t>Potrubí Cu</t>
  </si>
  <si>
    <t>včetně tvarovek, fitinek a objímek</t>
  </si>
  <si>
    <t>polotvrdých</t>
  </si>
  <si>
    <t>22x1</t>
  </si>
  <si>
    <t>tvrdých</t>
  </si>
  <si>
    <t>28x1</t>
  </si>
  <si>
    <t>54x2</t>
  </si>
  <si>
    <t>89x2</t>
  </si>
  <si>
    <t>Tlakové zkoušky potrubí</t>
  </si>
  <si>
    <t>potrubí  Cu</t>
  </si>
  <si>
    <t>do DN 50</t>
  </si>
  <si>
    <t>IZOLACE</t>
  </si>
  <si>
    <t>Návleková izolace</t>
  </si>
  <si>
    <t>22/20</t>
  </si>
  <si>
    <t>28/20</t>
  </si>
  <si>
    <t>54/30</t>
  </si>
  <si>
    <t>Návleková izolace pro chlad</t>
  </si>
  <si>
    <t>54/25</t>
  </si>
  <si>
    <t>89/25</t>
  </si>
  <si>
    <t>Pásky spojky , lepidlo</t>
  </si>
  <si>
    <t>OSTATNÍ</t>
  </si>
  <si>
    <t>Prostupy a drážky pro potrubí</t>
  </si>
  <si>
    <t>hod</t>
  </si>
  <si>
    <t>Demontáž otopného tělesa včetně zaslepení potrubí</t>
  </si>
  <si>
    <t>Doplnění primárního okruhu nemrznoucí kapalinou</t>
  </si>
  <si>
    <t xml:space="preserve">Napojení na stávající rozvod </t>
  </si>
  <si>
    <t>Topná zkouška</t>
  </si>
  <si>
    <t>Zaregulování systému</t>
  </si>
  <si>
    <t>Vnitrostaveništní přemístění</t>
  </si>
  <si>
    <t>do 6 m</t>
  </si>
  <si>
    <t>CELKEM bez DPH</t>
  </si>
  <si>
    <t>ROZPOČET – PRIMÁRNÍ OKRUH</t>
  </si>
  <si>
    <t xml:space="preserve">Projekt:  </t>
  </si>
  <si>
    <t>MĚSTSKÁ KNIHOVNA - ZMĚNA SYSTÉMU VYTÁPĚNÍ</t>
  </si>
  <si>
    <t xml:space="preserve">Investor:  </t>
  </si>
  <si>
    <t>Město Rumburk, Třída 9. května 1366/48, Rumburk 1, 40801 Rumburk</t>
  </si>
  <si>
    <t xml:space="preserve">Část PD:  </t>
  </si>
  <si>
    <t>ROZPOČET</t>
  </si>
  <si>
    <t>15.10.2023</t>
  </si>
  <si>
    <t>A) Organizační, projektové, administrativní a provozní náklady spojené s provedením díla</t>
  </si>
  <si>
    <t>pol.</t>
  </si>
  <si>
    <t>název</t>
  </si>
  <si>
    <t>jednotka</t>
  </si>
  <si>
    <t>jednotková cena bez DPH</t>
  </si>
  <si>
    <t>celková cena bez DPH</t>
  </si>
  <si>
    <t>Zpracování dokumentace pro provádění vrtů hornickým způsobem, ve smyslu přílohy č. 1 vyhlášky č. 239/1998 - nutný pro kontrolní orgán - OBÚ</t>
  </si>
  <si>
    <t>kpl</t>
  </si>
  <si>
    <t>Hlášení prací na OBÚ (báňský úřad)</t>
  </si>
  <si>
    <t>Doprava materiálu na stavbu</t>
  </si>
  <si>
    <t>Doprava techniky na stavbu - vrtná souprava, technika</t>
  </si>
  <si>
    <t>Ubytování pracovníků případně cestovní náklady</t>
  </si>
  <si>
    <t>Autorský dozor projektanta, dozor hydrogeologa včetně cestovních nákladů, koordinace/sled/řízení</t>
  </si>
  <si>
    <t>Geodetické vytyčení geotermálních vrtů, sběrné jímky a základních tras napojení vrtů, včetně páteře</t>
  </si>
  <si>
    <t>Závěrečná technická zpráva primárního okruhu (kompletní dokladová část díla nutná k získání kolaudačního souhlasu stavby)</t>
  </si>
  <si>
    <r>
      <rPr>
        <b/>
        <sz val="9"/>
        <color indexed="8"/>
        <rFont val="Calibri"/>
        <family val="2"/>
      </rPr>
      <t xml:space="preserve">A) Dílčí cena  </t>
    </r>
    <r>
      <rPr>
        <sz val="9"/>
        <color indexed="8"/>
        <rFont val="Calibri"/>
        <family val="2"/>
      </rPr>
      <t>(bez DPH)</t>
    </r>
  </si>
  <si>
    <t>B) Vrtné práce včetně vystrojení geotermálních vertikálních vrtů</t>
  </si>
  <si>
    <r>
      <rPr>
        <b/>
        <sz val="9"/>
        <color indexed="8"/>
        <rFont val="Calibri"/>
        <family val="2"/>
      </rPr>
      <t xml:space="preserve">Vrtné práce - 10 x 199 m
</t>
    </r>
    <r>
      <rPr>
        <sz val="9"/>
        <color indexed="8"/>
        <rFont val="Calibri"/>
        <family val="2"/>
      </rPr>
      <t>• vrtání do vyprojektované hloubky - vrtaný průměr cca Ø130-150mm
• instalace (zapuštění) geotermální vertikální sondy
• průtočná zkouška sondy před zapuštěním, tlaková a průtočná zkouška po zapuštění, tlaková a průtočná zkouška po injetáži vrtu</t>
    </r>
  </si>
  <si>
    <r>
      <rPr>
        <b/>
        <sz val="9"/>
        <color indexed="8"/>
        <rFont val="Calibri"/>
        <family val="2"/>
      </rPr>
      <t>Vystrojení vrtů - Geotermální vertikální sonda PN20, alternativn</t>
    </r>
    <r>
      <rPr>
        <b/>
        <sz val="9"/>
        <color indexed="8"/>
        <rFont val="Calibri (Základní text)"/>
        <family val="0"/>
      </rPr>
      <t xml:space="preserve">ě s proměnlivou tloušťkou stěny
</t>
    </r>
    <r>
      <rPr>
        <sz val="9"/>
        <color indexed="8"/>
        <rFont val="Calibri"/>
        <family val="2"/>
      </rPr>
      <t>• délka normované sondy 200 m
• typ vystrojení: 4 x 40 x 4,5 mm PE 100 RC, SDR11, PN20, alternativně 3,7-4,5 mm, PE 100 RC, SDR11, PN16-20
• vratné U-koleno se separační jímkou z PE 100 RC, PN20
• bezpečnostní separační jímka u dna vrtu o objemu 40 cm3
• průtok U-kolenem splňující VDI4640
• zvýšená ochranná funkce při zapouštění sondy - NOPY</t>
    </r>
  </si>
  <si>
    <r>
      <rPr>
        <b/>
        <sz val="9"/>
        <color indexed="8"/>
        <rFont val="Calibri"/>
        <family val="2"/>
      </rPr>
      <t xml:space="preserve">Závaží pro geotermální sondy
</t>
    </r>
    <r>
      <rPr>
        <sz val="9"/>
        <color indexed="8"/>
        <rFont val="Calibri"/>
        <family val="2"/>
      </rPr>
      <t>• hmotnost 19,0 kg, litina
• s aretačním kolíkem pro systémové uchycení k sondě</t>
    </r>
  </si>
  <si>
    <r>
      <rPr>
        <b/>
        <sz val="9"/>
        <color indexed="8"/>
        <rFont val="Calibri"/>
        <family val="2"/>
      </rPr>
      <t xml:space="preserve">Injektážní potrubí
</t>
    </r>
    <r>
      <rPr>
        <sz val="9"/>
        <color indexed="8"/>
        <rFont val="Calibri"/>
        <family val="2"/>
      </rPr>
      <t>• Ø 32 x 3 mm, PE 100, SDR 11, PN 16
• délka 202 m</t>
    </r>
  </si>
  <si>
    <r>
      <rPr>
        <b/>
        <sz val="9"/>
        <color indexed="8"/>
        <rFont val="Calibri"/>
        <family val="2"/>
      </rPr>
      <t xml:space="preserve">Tlaková injektáž vrtu termosměsí
</t>
    </r>
    <r>
      <rPr>
        <sz val="9"/>
        <color indexed="8"/>
        <rFont val="Calibri"/>
        <family val="2"/>
      </rPr>
      <t xml:space="preserve">• vodivé spojení podloží s geotermální vertikální sondou
• </t>
    </r>
    <r>
      <rPr>
        <b/>
        <sz val="9"/>
        <color indexed="8"/>
        <rFont val="Calibri"/>
        <family val="2"/>
      </rPr>
      <t xml:space="preserve">zaručená tepelná vodivost injektážní směsi 2,0 W/mK
</t>
    </r>
    <r>
      <rPr>
        <sz val="9"/>
        <color indexed="8"/>
        <rFont val="Calibri"/>
        <family val="2"/>
      </rPr>
      <t>• zamezení propojení jednotlivých horizontů spodních vod
• ochrana spodních vod před kontaminací povrchovou vodou</t>
    </r>
  </si>
  <si>
    <t>B) Dílčí cena  (bez DPH)</t>
  </si>
  <si>
    <t>C) Materiál pro dopojení geotermálních vertikálních vrtů do technické místnosti</t>
  </si>
  <si>
    <t>jednotková cena</t>
  </si>
  <si>
    <t>celková cena</t>
  </si>
  <si>
    <r>
      <rPr>
        <b/>
        <sz val="9"/>
        <color indexed="8"/>
        <rFont val="Calibri"/>
        <family val="2"/>
      </rPr>
      <t xml:space="preserve">Redukce počtu větví vrtů  - přímá (snížení počtu okruhů) 
</t>
    </r>
    <r>
      <rPr>
        <sz val="9"/>
        <color indexed="8"/>
        <rFont val="Calibri"/>
        <family val="2"/>
      </rPr>
      <t>• redukce 2 x Ø 40 → 1 x Ø 50 mm, PE 100 RC, SRD 11, PN16
• 2 x elektrospojka : Ø 40 mm, PE 100, SDR 11
• 1 x elektrospojka: Ø 50 mm, PE 100, SDR 11</t>
    </r>
  </si>
  <si>
    <r>
      <rPr>
        <b/>
        <sz val="9"/>
        <color indexed="8"/>
        <rFont val="Calibri"/>
        <family val="2"/>
      </rPr>
      <t xml:space="preserve">Potrubí PE-GT-RC 
</t>
    </r>
    <r>
      <rPr>
        <sz val="9"/>
        <color indexed="8"/>
        <rFont val="Calibri"/>
        <family val="2"/>
      </rPr>
      <t>• Ø 50 x 4,6 mm, tlaková odolnost 16 bar (SDR11, PN16)
• vnější ochranná vrstva zelené barvy
• vyrobeno dle normy PAS 1075 typ 2, náviny: 100 m
• ukládka BEZ pískového lože</t>
    </r>
  </si>
  <si>
    <r>
      <rPr>
        <b/>
        <sz val="9"/>
        <color indexed="8"/>
        <rFont val="Calibri"/>
        <family val="2"/>
      </rPr>
      <t xml:space="preserve">Elektrotvarovka pro spojení potrubí
</t>
    </r>
    <r>
      <rPr>
        <sz val="9"/>
        <color indexed="8"/>
        <rFont val="Calibri"/>
        <family val="2"/>
      </rPr>
      <t>• elektrospojka: Ø 50 mm, PE 100, SDR 11</t>
    </r>
  </si>
  <si>
    <r>
      <rPr>
        <b/>
        <sz val="9"/>
        <color indexed="8"/>
        <rFont val="Calibri"/>
        <family val="2"/>
      </rPr>
      <t xml:space="preserve">Tvarovka pro spojení pomocí elektrotvarovek
</t>
    </r>
    <r>
      <rPr>
        <sz val="9"/>
        <color indexed="8"/>
        <rFont val="Calibri"/>
        <family val="2"/>
      </rPr>
      <t>• elektrokoleno 45°, Ø 50 mm, PE 100, SDR 11</t>
    </r>
  </si>
  <si>
    <r>
      <rPr>
        <b/>
        <sz val="9"/>
        <color indexed="8"/>
        <rFont val="Calibri"/>
        <family val="2"/>
      </rPr>
      <t xml:space="preserve">Plně vybavená jímka 10/10
</t>
    </r>
    <r>
      <rPr>
        <sz val="9"/>
        <color indexed="10"/>
        <rFont val="Calibri"/>
        <family val="2"/>
      </rPr>
      <t xml:space="preserve">• orientace vývodů: L5P5
</t>
    </r>
    <r>
      <rPr>
        <sz val="9"/>
        <color indexed="8"/>
        <rFont val="Calibri"/>
        <family val="2"/>
      </rPr>
      <t xml:space="preserve">• poklop s protiskluzovou úpravou, pochůzný do 1500 kg
• 1 x rozdělovač, PVC kulové kohouty DN25 – 10 výstupů
• 1 x sběrač, PP vyvažovací ventily, vč. PP průtokoměru – 10 vstupů
• 10 x PP průtokoměr o rozsahu 5 - 42 l/min
• 2 x napouštěcí / odvzdušňovací PVC kohout s vnějším závitem 1"
• 20 x vývod z jímky potrubí Ø 50 mm 
• 2 x vývod z jímky potrubí Ø 90 mm
• 2 x uzavírací klapka na výstupu páteře DN80
• </t>
    </r>
    <r>
      <rPr>
        <sz val="9"/>
        <color indexed="10"/>
        <rFont val="Calibri (Základní text)"/>
        <family val="0"/>
      </rPr>
      <t>jímku není potřeba obetonovávat - pochozí</t>
    </r>
  </si>
  <si>
    <r>
      <rPr>
        <b/>
        <sz val="9"/>
        <color indexed="8"/>
        <rFont val="Calibri"/>
        <family val="2"/>
      </rPr>
      <t xml:space="preserve">Elektrotvarovka pro spojení potrubí
</t>
    </r>
    <r>
      <rPr>
        <sz val="9"/>
        <color indexed="8"/>
        <rFont val="Calibri"/>
        <family val="2"/>
      </rPr>
      <t>• elektrospojka: Ø 90 mm, PE 100, SDR 11</t>
    </r>
  </si>
  <si>
    <r>
      <rPr>
        <b/>
        <sz val="9"/>
        <color indexed="8"/>
        <rFont val="Calibri"/>
        <family val="2"/>
      </rPr>
      <t xml:space="preserve">Elektrotvarovka pro spojení potrubí
</t>
    </r>
    <r>
      <rPr>
        <sz val="9"/>
        <color indexed="8"/>
        <rFont val="Calibri"/>
        <family val="2"/>
      </rPr>
      <t>• elektrokoleno 90°: Ø 90 mm, PE 100, SDR 11</t>
    </r>
  </si>
  <si>
    <r>
      <rPr>
        <b/>
        <sz val="9"/>
        <color indexed="8"/>
        <rFont val="Calibri"/>
        <family val="2"/>
      </rPr>
      <t xml:space="preserve">Potrubí RC
</t>
    </r>
    <r>
      <rPr>
        <sz val="9"/>
        <color indexed="8"/>
        <rFont val="Calibri"/>
        <family val="2"/>
      </rPr>
      <t>• Ø 90 x 5,4 mm, tlaková odolnost 10 bar (SDR17, PN10)
• vnější ochranná vrstva
• vyrobeno dle normy PAS 1075 typ 2
• 6 m  tyč
• ukládka BEZ pískového lože</t>
    </r>
  </si>
  <si>
    <r>
      <rPr>
        <b/>
        <sz val="9"/>
        <color indexed="8"/>
        <rFont val="Calibri"/>
        <family val="2"/>
      </rPr>
      <t xml:space="preserve">Elektrotvarovka pro spojení potrubí
</t>
    </r>
    <r>
      <rPr>
        <sz val="9"/>
        <color indexed="8"/>
        <rFont val="Calibri"/>
        <family val="2"/>
      </rPr>
      <t>• elektrokoleno 45°: Ø 90 mm, PE 100, SDR 11</t>
    </r>
  </si>
  <si>
    <r>
      <rPr>
        <b/>
        <sz val="9"/>
        <color indexed="8"/>
        <rFont val="Calibri"/>
        <family val="2"/>
      </rPr>
      <t xml:space="preserve">Příslušenství k otočné přírubě
</t>
    </r>
    <r>
      <rPr>
        <sz val="9"/>
        <color indexed="8"/>
        <rFont val="Calibri"/>
        <family val="2"/>
      </rPr>
      <t>• lemový nákružek: Ø 90, PE 100, SDR 17</t>
    </r>
  </si>
  <si>
    <r>
      <rPr>
        <b/>
        <sz val="9"/>
        <color indexed="8"/>
        <rFont val="Calibri"/>
        <family val="2"/>
      </rPr>
      <t xml:space="preserve">Spojovací materiál k otočným přírubám
</t>
    </r>
    <r>
      <rPr>
        <sz val="9"/>
        <color indexed="8"/>
        <rFont val="Calibri"/>
        <family val="2"/>
      </rPr>
      <t>• šrouby, matice, podložky</t>
    </r>
  </si>
  <si>
    <r>
      <rPr>
        <b/>
        <sz val="9"/>
        <color indexed="8"/>
        <rFont val="Calibri"/>
        <family val="2"/>
      </rPr>
      <t xml:space="preserve">Mezipřírubová uzavírací klapka
</t>
    </r>
    <r>
      <rPr>
        <sz val="9"/>
        <color indexed="8"/>
        <rFont val="Calibri"/>
        <family val="2"/>
      </rPr>
      <t>• uzavírací klapka Ø 90 mm (DN 80), 
• PVC-U těsnení kulového členu PTFE</t>
    </r>
  </si>
  <si>
    <r>
      <rPr>
        <b/>
        <sz val="9"/>
        <color indexed="8"/>
        <rFont val="Calibri"/>
        <family val="2"/>
      </rPr>
      <t xml:space="preserve">Otočná příruba
</t>
    </r>
    <r>
      <rPr>
        <sz val="9"/>
        <color indexed="8"/>
        <rFont val="Calibri"/>
        <family val="2"/>
      </rPr>
      <t>• otočná příruba: Ø 90 (DN 80), 8 x M16, PP - V</t>
    </r>
  </si>
  <si>
    <t xml:space="preserve">   Trasová fólie do výkopu</t>
  </si>
  <si>
    <r>
      <rPr>
        <b/>
        <sz val="9"/>
        <color indexed="8"/>
        <rFont val="Calibri"/>
        <family val="2"/>
      </rPr>
      <t xml:space="preserve">Izolace potrubí
</t>
    </r>
    <r>
      <rPr>
        <sz val="9"/>
        <color indexed="8"/>
        <rFont val="Calibri"/>
        <family val="2"/>
      </rPr>
      <t>• Ø 89 x 13 mm, kaučuková izolace s komůrkovou strukturou</t>
    </r>
  </si>
  <si>
    <r>
      <rPr>
        <b/>
        <sz val="9"/>
        <color indexed="8"/>
        <rFont val="Calibri"/>
        <family val="2"/>
      </rPr>
      <t xml:space="preserve">Chránička izolace potrubí
</t>
    </r>
    <r>
      <rPr>
        <sz val="9"/>
        <color indexed="8"/>
        <rFont val="Calibri"/>
        <family val="2"/>
      </rPr>
      <t>• Ø 160 mm (vnější), PEHD</t>
    </r>
  </si>
  <si>
    <r>
      <rPr>
        <b/>
        <sz val="8"/>
        <color indexed="8"/>
        <rFont val="Arial"/>
        <family val="2"/>
      </rPr>
      <t xml:space="preserve">Smršťovací rukáv za tepla 200/65 (s lepidlem)
</t>
    </r>
    <r>
      <rPr>
        <sz val="8"/>
        <color indexed="8"/>
        <rFont val="Arial"/>
        <family val="2"/>
      </rPr>
      <t>• barva černá
• smrštění 3:1
•</t>
    </r>
    <r>
      <rPr>
        <b/>
        <sz val="8"/>
        <color indexed="8"/>
        <rFont val="Arial"/>
        <family val="2"/>
      </rPr>
      <t xml:space="preserve"> délka 1,22 m</t>
    </r>
  </si>
  <si>
    <r>
      <rPr>
        <b/>
        <sz val="9"/>
        <color indexed="8"/>
        <rFont val="Calibri"/>
        <family val="2"/>
      </rPr>
      <t xml:space="preserve">Izolace potrubí
</t>
    </r>
    <r>
      <rPr>
        <sz val="9"/>
        <color indexed="8"/>
        <rFont val="Calibri"/>
        <family val="2"/>
      </rPr>
      <t>• Ø 54 x 13 mm, kaučuková izolace s komůrkovou strukturou</t>
    </r>
  </si>
  <si>
    <r>
      <rPr>
        <b/>
        <sz val="9"/>
        <color indexed="8"/>
        <rFont val="Calibri"/>
        <family val="2"/>
      </rPr>
      <t xml:space="preserve">Chránička izolace potrubí
</t>
    </r>
    <r>
      <rPr>
        <sz val="9"/>
        <color indexed="8"/>
        <rFont val="Calibri"/>
        <family val="2"/>
      </rPr>
      <t>• Ø 110 mm (vnější), PEHD</t>
    </r>
  </si>
  <si>
    <r>
      <rPr>
        <b/>
        <sz val="8"/>
        <color indexed="8"/>
        <rFont val="Arial"/>
        <family val="2"/>
      </rPr>
      <t xml:space="preserve">Smršťovací rukáv za tepla 140/42 (s lepidlem)
</t>
    </r>
    <r>
      <rPr>
        <sz val="8"/>
        <color indexed="8"/>
        <rFont val="Arial"/>
        <family val="2"/>
      </rPr>
      <t>• barva černá
• smrštění 3:1
•</t>
    </r>
    <r>
      <rPr>
        <b/>
        <sz val="8"/>
        <color indexed="8"/>
        <rFont val="Arial"/>
        <family val="2"/>
      </rPr>
      <t xml:space="preserve"> délka 1,22 m</t>
    </r>
  </si>
  <si>
    <r>
      <rPr>
        <b/>
        <sz val="8"/>
        <color indexed="8"/>
        <rFont val="Arial"/>
        <family val="2"/>
      </rPr>
      <t xml:space="preserve">Prostupová tvarovka Typ KG: 160/500
</t>
    </r>
    <r>
      <rPr>
        <sz val="8"/>
        <color indexed="8"/>
        <rFont val="Arial"/>
        <family val="2"/>
      </rPr>
      <t>• pro vodorovné i svislé konstrukce, plnostěnné PVC  
• vnější průměr potrubí: DN/OD 160  • 1× systémové hrdlo (KG/HT)
• kruhový límec: pro modifikované asfaltové pásy, nátěry a PVC Fólie
  šířka kruhového límce 150 mm  
  tlaková odolnost: vodotěsnost, plynotěsnost do 1,5 bar
• délka tvarovky 500 mm (možnost zkrácení na stavbě)
• příslušenství – těsnící a fixační tmel PU 50</t>
    </r>
  </si>
  <si>
    <r>
      <rPr>
        <b/>
        <sz val="8"/>
        <color indexed="8"/>
        <rFont val="Arial"/>
        <family val="2"/>
      </rPr>
      <t xml:space="preserve">Nedělená těsnící vložka Typ DD: 150/90
</t>
    </r>
    <r>
      <rPr>
        <sz val="8"/>
        <color indexed="8"/>
        <rFont val="Arial"/>
        <family val="2"/>
      </rPr>
      <t>• pro hladké potrubí a kabely s pevnou stěnou
• vnitřní průměr pažnice, nebo jádrového vývrtu: DN/ID 150
• vnější průměr potrubí, nebo kabelu: 1× Ø 90 mm
• přítlačné kroužky: nerez V2A – certifikát  Rost Frei, tloušťka 5 mm
• pryžový segment: EPDM, protiskluzový, nepodléhá stárnutí, otěruodolný
• šířka pryžového těsnícího prvku 40 mm
• tlaková odolnost: vodotěsnost, plynotěsnost do 5,0 bar
• utahovací matice systém DKM: optimální utahovací moment (montáž bez použití momentového klíče)</t>
    </r>
  </si>
  <si>
    <r>
      <rPr>
        <b/>
        <sz val="8"/>
        <color indexed="8"/>
        <rFont val="Arial"/>
        <family val="2"/>
      </rPr>
      <t xml:space="preserve">Těsnící a fixační tmel PU 50 
</t>
    </r>
    <r>
      <rPr>
        <sz val="8"/>
        <color indexed="8"/>
        <rFont val="Arial"/>
        <family val="2"/>
      </rPr>
      <t>• vysoce kvalitní, trvale elastický a přilnavý tmel pro těsnění a fixaci fóliového límce na podklad
• použitelný i na vlhký betonový podklad
• kartuš 290 ml
• příslušenství pro tvarovky a pažnice s fóliovým límcem</t>
    </r>
  </si>
  <si>
    <r>
      <rPr>
        <b/>
        <sz val="9"/>
        <color indexed="8"/>
        <rFont val="Calibri"/>
        <family val="2"/>
      </rPr>
      <t xml:space="preserve">Nemrznoucí směs - KONCENTRÁT
</t>
    </r>
    <r>
      <rPr>
        <sz val="9"/>
        <color indexed="8"/>
        <rFont val="Calibri"/>
        <family val="2"/>
      </rPr>
      <t>• chemická báze - monoethylenglykol, bez zápachu
• koncentrát – poměr ředění 1 : 2,2 (koncentrát / voda)
• teplonosná antikorozní kapalina, šetrná k pryžovým těsněním
• delší životnost oběhových čerpadel, doporučená výrobci TČ v EU</t>
    </r>
  </si>
  <si>
    <r>
      <rPr>
        <b/>
        <sz val="9"/>
        <color indexed="8"/>
        <rFont val="Calibri"/>
        <family val="2"/>
      </rPr>
      <t xml:space="preserve">C) Celková cena </t>
    </r>
    <r>
      <rPr>
        <sz val="9"/>
        <color indexed="8"/>
        <rFont val="Calibri"/>
        <family val="2"/>
      </rPr>
      <t>(bez DPH)</t>
    </r>
  </si>
  <si>
    <t>D) Práce - napojení vrtů do technické místnosti</t>
  </si>
  <si>
    <t>kód</t>
  </si>
  <si>
    <t>Montážní práce - pokládka a elektrosvařování potrubí, práce s náviny: rozvody od vrtů ke sběrné jímce a od jímky do objektu, uložení sběrné jímky včetně zhotovění štěrkopískového lože (alternativně podkladního betonu), připojení potrubí k jímce a obsypání a hutnění obsypu okolo vývodů, odkopání vrtů</t>
  </si>
  <si>
    <t>Osazení těsnících vložek na potrubí v místě prostupu do objektu</t>
  </si>
  <si>
    <t>Tlakové zkoušky systému dle rozsahu stanoveném v technické zprávě</t>
  </si>
  <si>
    <t>Tepelné izolování potrubí a ukládání do chráničky</t>
  </si>
  <si>
    <t xml:space="preserve">Zemní práce - strojní výkopy  - rýhy š. cca 500-1000 mm, hl. 1,2-1,5 m pro horizontální potrubí, předpokládaná těžitelnost tř.I </t>
  </si>
  <si>
    <t xml:space="preserve">Zemní práce - přesuny výkopku v rámci stavební jámy do 100 m vzdálenosti </t>
  </si>
  <si>
    <r>
      <rPr>
        <sz val="9"/>
        <color indexed="8"/>
        <rFont val="Calibri"/>
        <family val="2"/>
      </rPr>
      <t>Zemní práce - záhrn výkopu hutnitelným materiálem</t>
    </r>
    <r>
      <rPr>
        <sz val="9"/>
        <color indexed="10"/>
        <rFont val="Calibri"/>
        <family val="2"/>
      </rPr>
      <t xml:space="preserve"> (předpoklad vytěženým výkopkem)</t>
    </r>
    <r>
      <rPr>
        <sz val="9"/>
        <color indexed="8"/>
        <rFont val="Calibri"/>
        <family val="2"/>
      </rPr>
      <t xml:space="preserve"> + hutnění po vrstvách </t>
    </r>
  </si>
  <si>
    <t>Zemní práce - provedení štěrkopískového lože frakce 0/8 - prosívka včetně dopravy a uložení do výkopů (cca 2,5 m3)</t>
  </si>
  <si>
    <t>Zemní práce - likvidace přebytečného výkopku</t>
  </si>
  <si>
    <r>
      <rPr>
        <sz val="9"/>
        <color indexed="8"/>
        <rFont val="Calibri"/>
        <family val="2"/>
      </rPr>
      <t xml:space="preserve">Odvoz a likvidace vytěženého materiálu z vrtání včetně poplatků za skládkovné </t>
    </r>
    <r>
      <rPr>
        <sz val="9"/>
        <rFont val="Calibri"/>
        <family val="2"/>
      </rPr>
      <t>(předpoklad 20ks korba/kontejner á 7 m3)
Voda vytlačená z vrtu při vrtání bude likvidována v rámci odvodnění</t>
    </r>
    <r>
      <rPr>
        <sz val="9"/>
        <color indexed="8"/>
        <rFont val="Calibri"/>
        <family val="2"/>
      </rPr>
      <t xml:space="preserve"> stavby</t>
    </r>
  </si>
  <si>
    <t xml:space="preserve">Míchání nemrznoucí kapaliny a plnění systému </t>
  </si>
  <si>
    <t>D) Dílčí cena  (bez DPH)</t>
  </si>
  <si>
    <t>E) Požadavky na stavbu</t>
  </si>
  <si>
    <t>Zajistění prostupu páteřního vedení primárního okruhu TČ do technické místnosti objektu (2 ks potrubí d90)</t>
  </si>
  <si>
    <t>E) Dílčí cena  (bez DPH)</t>
  </si>
  <si>
    <t>REKAPITULACE:</t>
  </si>
  <si>
    <t>A) Organizační, projektové, administrativní a provozní náklady spojené s provedením díla:</t>
  </si>
  <si>
    <t>B) Vrtné práce včetně vystrojení geotermálních vertikálních vrtů:</t>
  </si>
  <si>
    <t>C) Materiál pro dopojení horizontálního vedení geotermálních vertikálních vrtů do technické místnosti:</t>
  </si>
  <si>
    <t>D) Práce - napojení vrtů k předávacímu bodu - rozhraní profesí</t>
  </si>
  <si>
    <t>Cena díla celkem bez DPH:</t>
  </si>
  <si>
    <t>STAVEBNÍ PŘIPRAVENOST:</t>
  </si>
  <si>
    <r>
      <rPr>
        <b/>
        <sz val="11"/>
        <rFont val="Calibri"/>
        <family val="2"/>
      </rPr>
      <t xml:space="preserve">Projekt počítá s připraveností staveniště:
</t>
    </r>
    <r>
      <rPr>
        <b/>
        <sz val="10"/>
        <rFont val="Calibri"/>
        <family val="2"/>
      </rPr>
      <t>• Sjízdnost pro osobní i nákladní automobil
• Zabezpečení stavebiště ostrahou nebo oplocením
• Přípojka pitné vody pro staveniště</t>
    </r>
  </si>
  <si>
    <t>optimalizováno pro tisk sestav ve formátu A4 - na výšku</t>
  </si>
  <si>
    <t>&gt;&gt;  skryté sloupce  &lt;&lt;</t>
  </si>
  <si>
    <t>{43c3154f-c93c-4b94-81e9-67918da0bf6c}</t>
  </si>
  <si>
    <t>REKAPITULACE ROZPOČTU – ELEKTROINSTALACE</t>
  </si>
  <si>
    <t>Stavba:</t>
  </si>
  <si>
    <t>Městská knihovna – změna systému vytápění
Elektroinstalace – rozvody NN</t>
  </si>
  <si>
    <t>Místo:</t>
  </si>
  <si>
    <t>Třída 9. května 150/29, Rumburk</t>
  </si>
  <si>
    <t>Město Rumburk</t>
  </si>
  <si>
    <t>Ing. Ota Pour</t>
  </si>
  <si>
    <t>Zpracovatel:</t>
  </si>
  <si>
    <t>Kód - Popis</t>
  </si>
  <si>
    <t>Cena celkem [CZK]</t>
  </si>
  <si>
    <t>1) Náklady z rozpočtu</t>
  </si>
  <si>
    <t>-1</t>
  </si>
  <si>
    <t>HSV - Práce a dodávky HSV</t>
  </si>
  <si>
    <t>PSV - Práce a dodávky PSV</t>
  </si>
  <si>
    <t xml:space="preserve">    740 - Elektromontáže - zkoušky a revize</t>
  </si>
  <si>
    <t xml:space="preserve">    742 - Elektromontáže - rozvodný systém</t>
  </si>
  <si>
    <t xml:space="preserve">    743 - Elektromontáže - hrubá montáž</t>
  </si>
  <si>
    <t xml:space="preserve">    744 - Elektromontáže - rozvody vodičů měděných</t>
  </si>
  <si>
    <t xml:space="preserve">    746 - Elektromontáže - soubory pro vodiče</t>
  </si>
  <si>
    <t xml:space="preserve">    747 - Elektromontáže - kompletace rozvodů</t>
  </si>
  <si>
    <t xml:space="preserve">    748 - Elektromontáže - osvětlovací zařízení a svítidla</t>
  </si>
  <si>
    <t xml:space="preserve">    749 - Elektromontáže - ostatní práce a konstrukce</t>
  </si>
  <si>
    <t>VRN - Vedlejší rozpočtové náklady</t>
  </si>
  <si>
    <t xml:space="preserve">    VRN1 - Průzkumné, geodetické a projektové práce</t>
  </si>
  <si>
    <t xml:space="preserve">    VRN7 - Provozní vlivy</t>
  </si>
  <si>
    <t xml:space="preserve">    VRN9 - Ostatní náklady</t>
  </si>
  <si>
    <t>2) Ostatní náklady</t>
  </si>
  <si>
    <t>DPH</t>
  </si>
  <si>
    <t>Celkové náklady za stavbu 1) + 2)</t>
  </si>
  <si>
    <t>ROZPOČET – ELEKTROINSTALACE</t>
  </si>
  <si>
    <t>PČ</t>
  </si>
  <si>
    <t>Typ</t>
  </si>
  <si>
    <t>Popis</t>
  </si>
  <si>
    <t>J.cena [CZK]</t>
  </si>
  <si>
    <t>Poznámka</t>
  </si>
  <si>
    <t>J. Nh [h]</t>
  </si>
  <si>
    <t>Nh celkem [h]</t>
  </si>
  <si>
    <t>J. hmotnost
[t]</t>
  </si>
  <si>
    <t>Hmotnost
celkem [t]</t>
  </si>
  <si>
    <t>J. suť [t]</t>
  </si>
  <si>
    <t>Suť Celkem [t]</t>
  </si>
  <si>
    <t>Náklady z rozpočtu</t>
  </si>
  <si>
    <t>D</t>
  </si>
  <si>
    <t>0</t>
  </si>
  <si>
    <t>ROZPOCET</t>
  </si>
  <si>
    <t xml:space="preserve">    9 - Ostatní konstrukce a práce, bourání</t>
  </si>
  <si>
    <t>K</t>
  </si>
  <si>
    <t>971033141</t>
  </si>
  <si>
    <t>Vybourání otvorů ve zdivu cihelném D do 60 mm na MVC nebo MV tl do 300 mm</t>
  </si>
  <si>
    <t>971033148</t>
  </si>
  <si>
    <t>Vybourání otvorů ve zdivu cihelném D do 150 mm na MVC nebo MV tl do 300 mm</t>
  </si>
  <si>
    <t>973031324</t>
  </si>
  <si>
    <t>Vysekání kapes ve zdivu cihelném na MV nebo MVC pl do 0,10 m2 hl do 150 mm</t>
  </si>
  <si>
    <t>974082212</t>
  </si>
  <si>
    <t>Vysekání rýh pro vodiče v omítce MC stěn š do 30 mm</t>
  </si>
  <si>
    <t>974082214</t>
  </si>
  <si>
    <t>Vysekání rýh pro vodiče v omítce MC stěn š do 70 mm</t>
  </si>
  <si>
    <t>740991200</t>
  </si>
  <si>
    <t>Celková prohlídka elektrického rozvodu a zařízení do 0,3 milionu Kč</t>
  </si>
  <si>
    <t>základní</t>
  </si>
  <si>
    <t>624823024</t>
  </si>
  <si>
    <t>742231112</t>
  </si>
  <si>
    <t>Montáž rozvodné skříně do 50 kg</t>
  </si>
  <si>
    <t>M</t>
  </si>
  <si>
    <t>357118715R</t>
  </si>
  <si>
    <t>Rozvaděč RT - viz výkr.č. E-03</t>
  </si>
  <si>
    <t>-1378008195</t>
  </si>
  <si>
    <t>357118712R</t>
  </si>
  <si>
    <t>Rozvaděč ER - elektroměrový - OM pro tepelné čerpadlo , IP44, na stěnu provedení dle PPDS</t>
  </si>
  <si>
    <t>357118700R</t>
  </si>
  <si>
    <t>Rozvaděč s deionem 3/315A s VC pro TOTAL STOP v plombovatené skříni dle PPDS na stěnu vč. příslušenství</t>
  </si>
  <si>
    <t>742231004</t>
  </si>
  <si>
    <t>Kontrola stavu přípojky NN a stávajícího elektroměrového rozvaděče</t>
  </si>
  <si>
    <t>742268485</t>
  </si>
  <si>
    <t>Přípojnice hlavního /lokálního pospojení</t>
  </si>
  <si>
    <t>35711289R</t>
  </si>
  <si>
    <t>74281111R</t>
  </si>
  <si>
    <t>Koordinace s provozovatelem / investorem</t>
  </si>
  <si>
    <t>1738727196</t>
  </si>
  <si>
    <t>743112115</t>
  </si>
  <si>
    <t>Montáž trubka plastová ohebná D 23 mm uložená pevně</t>
  </si>
  <si>
    <t>1439816617</t>
  </si>
  <si>
    <t>345710510</t>
  </si>
  <si>
    <t>trubka elektroinstalační ohebná D23 mm</t>
  </si>
  <si>
    <t>1531122796</t>
  </si>
  <si>
    <t>743112117</t>
  </si>
  <si>
    <t>Montáž trubka plastová ohebná D 36 mm uložená pevně</t>
  </si>
  <si>
    <t>673168677</t>
  </si>
  <si>
    <t>345710940</t>
  </si>
  <si>
    <t>trubka elektroinstalační ohebná D36 mm</t>
  </si>
  <si>
    <t>743411111</t>
  </si>
  <si>
    <t>Montáž krabice zapuštěná plastová kruhová typ KU68/2-1902, KO125</t>
  </si>
  <si>
    <t>345715110</t>
  </si>
  <si>
    <t>krabice přístrojová instalační KP 68/1</t>
  </si>
  <si>
    <t>345715210</t>
  </si>
  <si>
    <t>krabice univerzální z PH KU 68/2-1903</t>
  </si>
  <si>
    <t>743411121</t>
  </si>
  <si>
    <t>Montáž krabice zapuštěná plastová čtyřhranná typ KO68, KO100, KO125</t>
  </si>
  <si>
    <t>10.033.023</t>
  </si>
  <si>
    <t>Krabice  IP54</t>
  </si>
  <si>
    <t>743611121</t>
  </si>
  <si>
    <t>Montáž vodič uzemňovací drát nebo lano D do 10 mm / v liště / pod omítkou</t>
  </si>
  <si>
    <t>354410730</t>
  </si>
  <si>
    <t>drát průměr 10 mm FeZn</t>
  </si>
  <si>
    <t>743622200</t>
  </si>
  <si>
    <t>Drátěný kabelový žlab š.100mm</t>
  </si>
  <si>
    <t>354420290</t>
  </si>
  <si>
    <t>Drátěný kabelový žlab š.100mm vč. výložníků spoj.materiálu a příslušenství</t>
  </si>
  <si>
    <t>718111222</t>
  </si>
  <si>
    <t>Trubka korugovaná 50/41</t>
  </si>
  <si>
    <t>341828522</t>
  </si>
  <si>
    <t>744211111</t>
  </si>
  <si>
    <t>Montáž vodič Cu izolovaný sk.1 do 1 kV žíla 0,35 až 6 mm2 do stěny</t>
  </si>
  <si>
    <t>-131167248</t>
  </si>
  <si>
    <t>341408256</t>
  </si>
  <si>
    <t>vodič silový s Cu jádrem CY H07 V-U 2 mm2 zž</t>
  </si>
  <si>
    <t>-1370384039</t>
  </si>
  <si>
    <t>341408258</t>
  </si>
  <si>
    <t>vodič silový s Cu jádrem CY H07 V-U 4 mm2 zž</t>
  </si>
  <si>
    <t>744211112</t>
  </si>
  <si>
    <t>Montáž vodič Cu izolovaný sk.1 do 1 kV žíla 10 až 16 mm2 do stěny</t>
  </si>
  <si>
    <t>341408270</t>
  </si>
  <si>
    <t>vodič silový s Cu jádrem CY H07 V-U 10 mm2 zž</t>
  </si>
  <si>
    <t>744411220</t>
  </si>
  <si>
    <t>Montáž kabel Cu sk.2 do 1 kV do 0,20 kg pod omítku stěn</t>
  </si>
  <si>
    <t>341110300</t>
  </si>
  <si>
    <t>kabel silový s Cu jádrem CYKY-J 3x1,5 mm2</t>
  </si>
  <si>
    <t>341110050</t>
  </si>
  <si>
    <t>kabel silový s Cu jádrem CYKY-O 2x1,5 mm2</t>
  </si>
  <si>
    <t>Kabel bezhalogenový s funkční integritou dle PBŘ</t>
  </si>
  <si>
    <t>744411230</t>
  </si>
  <si>
    <t>Montáž kabel Cu sk.2 do 1 kV do 0,40 kg pod omítku stěn</t>
  </si>
  <si>
    <t>341110380</t>
  </si>
  <si>
    <t>kabel silový s Cu jádrem CYKY 5x1,5 mm2</t>
  </si>
  <si>
    <t>744411260</t>
  </si>
  <si>
    <t>Montáž kabel Cu sk.2 do 1 kV do 1,10 kg pod omítku stěn</t>
  </si>
  <si>
    <t>103541080R3</t>
  </si>
  <si>
    <t>kabel silový s Cu jádrem CYKY-J 5x10mm2</t>
  </si>
  <si>
    <t>103541080R4</t>
  </si>
  <si>
    <t>103541080R5</t>
  </si>
  <si>
    <t>kabel silový s Cu jádrem CYKY 4Bx95mm2</t>
  </si>
  <si>
    <t>746211110</t>
  </si>
  <si>
    <t>Ukončení vodič izolovaný do 2,5mm2 v rozváděči nebo na přístroji</t>
  </si>
  <si>
    <t>21060624</t>
  </si>
  <si>
    <t>SVORKA WAGO 221-415 5x2,5</t>
  </si>
  <si>
    <t>68500231</t>
  </si>
  <si>
    <t>SVORKA ST 5 NA POTRUBI</t>
  </si>
  <si>
    <t>68500240</t>
  </si>
  <si>
    <t>OZNAC.STITEK C.1</t>
  </si>
  <si>
    <t>345723090</t>
  </si>
  <si>
    <t>páska stahovací kabelová VPP 4/280</t>
  </si>
  <si>
    <t>100 kus</t>
  </si>
  <si>
    <t>746211140</t>
  </si>
  <si>
    <t>Ukončení vodič izolovaný do 10 mm2 v rozváděči nebo na přístroji</t>
  </si>
  <si>
    <t>746211146</t>
  </si>
  <si>
    <t>Ukončení vodič izolovaný do 25 mm2 v rozváděči nebo na přístroji vč. kab.ok</t>
  </si>
  <si>
    <t>Ukončení vodič izolovaný do 95 mm2 v rozváděči nebo na přístroji vč. kab.ok</t>
  </si>
  <si>
    <t>746211005D</t>
  </si>
  <si>
    <t>Demontáž stávající elektroinstalace</t>
  </si>
  <si>
    <t>746211005</t>
  </si>
  <si>
    <t>Přepojení stávajících rekonstruovaných úseků vč. nastavení a přeložení kabelů ( vč. materiálu ), zajištění funčnosti objektu během stavby</t>
  </si>
  <si>
    <t>746591510</t>
  </si>
  <si>
    <t>Montáž pospojení</t>
  </si>
  <si>
    <t>10.939.562</t>
  </si>
  <si>
    <t>Sada pro ochranné pospojení</t>
  </si>
  <si>
    <t>KS</t>
  </si>
  <si>
    <t>747111111</t>
  </si>
  <si>
    <t>Montáž vypínač nástěnný 1-jednopólový prostředí obyčejné nebo vlhké</t>
  </si>
  <si>
    <t>2057692516</t>
  </si>
  <si>
    <t>345357691</t>
  </si>
  <si>
    <t>spínač jednopólový řazení 1 10A bílý, IP40, komplet</t>
  </si>
  <si>
    <t>747111126</t>
  </si>
  <si>
    <t>Montáž přepínač nástěnný 6-střídavý prostředí obyčejné nebo vlhké</t>
  </si>
  <si>
    <t>345355554</t>
  </si>
  <si>
    <t>spínač řazení 6 10A bílý IP40, komplet</t>
  </si>
  <si>
    <t>747111128</t>
  </si>
  <si>
    <t>Krabice vývodka do 5x2,5mm2</t>
  </si>
  <si>
    <t>345357130</t>
  </si>
  <si>
    <t>747161060</t>
  </si>
  <si>
    <t>Tlačítko TOTAL STOP</t>
  </si>
  <si>
    <t>345551240R</t>
  </si>
  <si>
    <t xml:space="preserve">Tlačítko TOTAL STOP v prosklené krabici </t>
  </si>
  <si>
    <t>747161348</t>
  </si>
  <si>
    <t>Protipožární kabelová ucpávka</t>
  </si>
  <si>
    <t>10.048.852R</t>
  </si>
  <si>
    <t>747162151</t>
  </si>
  <si>
    <t>Podružný montážní materiál</t>
  </si>
  <si>
    <t>10.048.000</t>
  </si>
  <si>
    <t>748121142</t>
  </si>
  <si>
    <t>Montáž svítidlo LED stropní / nástěnné / svěšené do dvou zdrojů</t>
  </si>
  <si>
    <t>34814435R1</t>
  </si>
  <si>
    <t xml:space="preserve">C - Svítidlo LED 58W/ 8200 lm
nástěnné / přisazené / svěšené, min IP44 </t>
  </si>
  <si>
    <t>34814435R2</t>
  </si>
  <si>
    <t xml:space="preserve">D - Svítidlo LED 34W/ 3600 lm
kruhové / nástěnné / přisazené, min IP44 </t>
  </si>
  <si>
    <t>74899220R</t>
  </si>
  <si>
    <t>zkouška nouzových svítidel vč. protokolu</t>
  </si>
  <si>
    <t>748992300</t>
  </si>
  <si>
    <t>Měření intenzity osvětlení</t>
  </si>
  <si>
    <t>74991111R</t>
  </si>
  <si>
    <t>Podružný, spojovací, připojovací, kotevní a upevňovací materiál, svorky a - veškeré příslušenství,</t>
  </si>
  <si>
    <t>340550847R</t>
  </si>
  <si>
    <t>Podružný, spojovací, připojovací, kotevní a upevňovací materiál, svorky, konstrukce a - veškeré příslušenství</t>
  </si>
  <si>
    <t>013254000</t>
  </si>
  <si>
    <t>Dokumentace skutečného provedení stavby (3 paré)</t>
  </si>
  <si>
    <t>1024</t>
  </si>
  <si>
    <t>1272706007</t>
  </si>
  <si>
    <t>013254000R</t>
  </si>
  <si>
    <t>Koordinace vypnutí stavby, prozatímní napájení staveništního rozvaděče</t>
  </si>
  <si>
    <t>071103000</t>
  </si>
  <si>
    <t>práce ve výšce nad 3m</t>
  </si>
  <si>
    <t>-2136760690</t>
  </si>
  <si>
    <t>092103001</t>
  </si>
  <si>
    <t>Náklady na zkušební provoz</t>
  </si>
  <si>
    <t>-1231352590</t>
  </si>
  <si>
    <t>092100008</t>
  </si>
  <si>
    <t xml:space="preserve">Stavební přípomoce </t>
  </si>
  <si>
    <t>340520545R</t>
  </si>
  <si>
    <t>Materiál pro stavební přípomoce / zához rýh ( jádro + štuk ) pro vodiče a kabely</t>
  </si>
  <si>
    <t>092100099</t>
  </si>
  <si>
    <t>Inženýring s provozovatelem distribuční sítě ( vypnutí a zapnutí objektu, kordinace a plombování , …...</t>
  </si>
  <si>
    <t>Opatření proti prašnosti a úklid</t>
  </si>
  <si>
    <t>092203041</t>
  </si>
  <si>
    <t>Ekologická likvidace odpadů</t>
  </si>
  <si>
    <t>Vedlejší a ostatní rozpočtové náklady</t>
  </si>
  <si>
    <t>Vedlejší rozpočtové náklady VRN</t>
  </si>
  <si>
    <t>Doplňkové náklady DN</t>
  </si>
  <si>
    <t>Kč</t>
  </si>
  <si>
    <t>%</t>
  </si>
  <si>
    <t>Základna</t>
  </si>
  <si>
    <t>Celkem DN</t>
  </si>
  <si>
    <t>Celkem NUS</t>
  </si>
  <si>
    <t>Celkem VRN</t>
  </si>
  <si>
    <t>Vedlejší a ostatní rozpočtové náklady VORN</t>
  </si>
  <si>
    <t>Ostatní rozpočtové náklady (VORN)</t>
  </si>
  <si>
    <t>Příprava staveniště</t>
  </si>
  <si>
    <t>Finanční náklady</t>
  </si>
  <si>
    <t>Náklady na pracovníky</t>
  </si>
  <si>
    <t>Ostatní náklady</t>
  </si>
  <si>
    <t>Vlastní VORN</t>
  </si>
  <si>
    <t>Celkem VORN</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</si>
</sst>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00&quot; Kč&quot;_-;\-* #,##0.00&quot; Kč&quot;_-;_-* \-??&quot; Kč&quot;_-;_-@_-"/>
    <numFmt numFmtId="165" formatCode="_-* #,##0&quot; Kč&quot;_-;\-* #,##0&quot; Kč&quot;_-;_-* \-??&quot; Kč&quot;_-;_-@_-"/>
    <numFmt numFmtId="166" formatCode="#,##0&quot; Kč&quot;"/>
    <numFmt numFmtId="167" formatCode="#,##0.0&quot; Kč&quot;"/>
    <numFmt numFmtId="168" formatCode="dd\.mm\.yyyy"/>
    <numFmt numFmtId="169" formatCode="#,##0.00000"/>
    <numFmt numFmtId="170" formatCode="#,##0.000"/>
  </numFmts>
  <fonts count="87">
    <font>
      <sz val="8"/>
      <name val="Arial"/>
      <family val="0"/>
    </font>
    <font>
      <sz val="10"/>
      <name val="Arial"/>
      <family val="0"/>
    </font>
    <font>
      <sz val="11"/>
      <name val="Calibri"/>
      <family val="0"/>
    </font>
    <font>
      <sz val="18"/>
      <name val="Arial"/>
      <family val="0"/>
    </font>
    <font>
      <b/>
      <sz val="10"/>
      <name val="Arial"/>
      <family val="0"/>
    </font>
    <font>
      <b/>
      <sz val="18"/>
      <name val="Arial"/>
      <family val="0"/>
    </font>
    <font>
      <b/>
      <sz val="20"/>
      <name val="Arial"/>
      <family val="0"/>
    </font>
    <font>
      <b/>
      <sz val="11"/>
      <name val="Arial"/>
      <family val="0"/>
    </font>
    <font>
      <b/>
      <sz val="12"/>
      <name val="Arial"/>
      <family val="0"/>
    </font>
    <font>
      <sz val="12"/>
      <name val="Arial"/>
      <family val="0"/>
    </font>
    <font>
      <i/>
      <sz val="8"/>
      <name val="Arial"/>
      <family val="0"/>
    </font>
    <font>
      <sz val="10"/>
      <color indexed="8"/>
      <name val="Arial"/>
      <family val="0"/>
    </font>
    <font>
      <i/>
      <sz val="10"/>
      <name val="Arial"/>
      <family val="0"/>
    </font>
    <font>
      <b/>
      <sz val="10"/>
      <color indexed="8"/>
      <name val="Arial"/>
      <family val="0"/>
    </font>
    <font>
      <i/>
      <sz val="10"/>
      <color indexed="8"/>
      <name val="Arial"/>
      <family val="0"/>
    </font>
    <font>
      <sz val="10"/>
      <name val="Arial CE"/>
      <family val="0"/>
    </font>
    <font>
      <b/>
      <sz val="14"/>
      <name val="Arial"/>
      <family val="2"/>
    </font>
    <font>
      <b/>
      <sz val="9"/>
      <name val="Arial"/>
      <family val="2"/>
    </font>
    <font>
      <b/>
      <sz val="10"/>
      <name val="Arial CE"/>
      <family val="0"/>
    </font>
    <font>
      <sz val="10"/>
      <color indexed="8"/>
      <name val="Arial CE"/>
      <family val="0"/>
    </font>
    <font>
      <sz val="9"/>
      <name val="Arial"/>
      <family val="2"/>
    </font>
    <font>
      <sz val="9"/>
      <name val="Arial CE"/>
      <family val="0"/>
    </font>
    <font>
      <sz val="9"/>
      <color indexed="10"/>
      <name val="Arial"/>
      <family val="2"/>
    </font>
    <font>
      <sz val="9"/>
      <color indexed="8"/>
      <name val="Calibri"/>
      <family val="2"/>
    </font>
    <font>
      <b/>
      <sz val="14"/>
      <color indexed="8"/>
      <name val="Calibri"/>
      <family val="2"/>
    </font>
    <font>
      <b/>
      <sz val="10"/>
      <color indexed="8"/>
      <name val="Calibri"/>
      <family val="2"/>
    </font>
    <font>
      <sz val="10"/>
      <color indexed="8"/>
      <name val="Calibri"/>
      <family val="2"/>
    </font>
    <font>
      <b/>
      <sz val="11"/>
      <color indexed="8"/>
      <name val="Calibri"/>
      <family val="2"/>
    </font>
    <font>
      <b/>
      <sz val="9"/>
      <color indexed="8"/>
      <name val="Calibri"/>
      <family val="2"/>
    </font>
    <font>
      <sz val="7"/>
      <color indexed="8"/>
      <name val="Calibri"/>
      <family val="2"/>
    </font>
    <font>
      <b/>
      <sz val="9"/>
      <color indexed="8"/>
      <name val="Calibri (Základní text)"/>
      <family val="0"/>
    </font>
    <font>
      <sz val="9"/>
      <color indexed="10"/>
      <name val="Calibri"/>
      <family val="2"/>
    </font>
    <font>
      <sz val="9"/>
      <color indexed="10"/>
      <name val="Calibri (Základní text)"/>
      <family val="0"/>
    </font>
    <font>
      <b/>
      <sz val="8"/>
      <color indexed="8"/>
      <name val="Arial"/>
      <family val="2"/>
    </font>
    <font>
      <sz val="8"/>
      <color indexed="8"/>
      <name val="Arial"/>
      <family val="2"/>
    </font>
    <font>
      <sz val="9"/>
      <name val="Calibri"/>
      <family val="2"/>
    </font>
    <font>
      <b/>
      <sz val="11"/>
      <name val="Calibri"/>
      <family val="2"/>
    </font>
    <font>
      <b/>
      <sz val="10"/>
      <name val="Calibri"/>
      <family val="2"/>
    </font>
    <font>
      <sz val="8"/>
      <name val="Trebuchet MS"/>
      <family val="2"/>
    </font>
    <font>
      <sz val="8"/>
      <color indexed="48"/>
      <name val="Trebuchet MS"/>
      <family val="2"/>
    </font>
    <font>
      <b/>
      <sz val="16"/>
      <name val="Trebuchet MS"/>
      <family val="2"/>
    </font>
    <font>
      <b/>
      <sz val="12"/>
      <name val="Trebuchet MS"/>
      <family val="2"/>
    </font>
    <font>
      <b/>
      <sz val="10"/>
      <name val="Trebuchet MS"/>
      <family val="2"/>
    </font>
    <font>
      <sz val="9"/>
      <color indexed="55"/>
      <name val="Trebuchet MS"/>
      <family val="2"/>
    </font>
    <font>
      <sz val="9"/>
      <name val="Trebuchet MS"/>
      <family val="2"/>
    </font>
    <font>
      <b/>
      <sz val="12"/>
      <color indexed="16"/>
      <name val="Trebuchet MS"/>
      <family val="2"/>
    </font>
    <font>
      <sz val="12"/>
      <color indexed="56"/>
      <name val="Trebuchet MS"/>
      <family val="2"/>
    </font>
    <font>
      <sz val="10"/>
      <color indexed="56"/>
      <name val="Trebuchet MS"/>
      <family val="2"/>
    </font>
    <font>
      <sz val="9"/>
      <color indexed="8"/>
      <name val="Trebuchet MS"/>
      <family val="2"/>
    </font>
    <font>
      <sz val="8"/>
      <color indexed="16"/>
      <name val="Trebuchet MS"/>
      <family val="2"/>
    </font>
    <font>
      <b/>
      <sz val="8"/>
      <name val="Trebuchet MS"/>
      <family val="2"/>
    </font>
    <font>
      <sz val="8"/>
      <color indexed="56"/>
      <name val="Trebuchet MS"/>
      <family val="2"/>
    </font>
    <font>
      <sz val="8"/>
      <color indexed="55"/>
      <name val="Trebuchet MS"/>
      <family val="2"/>
    </font>
    <font>
      <i/>
      <sz val="8"/>
      <color indexed="12"/>
      <name val="Trebuchet MS"/>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54"/>
      <name val="Calibri"/>
      <family val="2"/>
    </font>
    <font>
      <sz val="11"/>
      <color indexed="9"/>
      <name val="Calibri"/>
      <family val="2"/>
    </font>
    <font>
      <sz val="11"/>
      <color indexed="8"/>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s>
  <borders count="9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color indexed="63"/>
      </top>
      <bottom>
        <color indexed="63"/>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style="medium">
        <color indexed="23"/>
      </left>
      <right style="medium">
        <color indexed="23"/>
      </right>
      <top style="medium">
        <color indexed="23"/>
      </top>
      <bottom style="medium">
        <color indexed="23"/>
      </bottom>
    </border>
    <border>
      <left style="medium">
        <color indexed="23"/>
      </left>
      <right style="thin">
        <color indexed="23"/>
      </right>
      <top style="medium">
        <color indexed="23"/>
      </top>
      <bottom style="dotted">
        <color indexed="23"/>
      </bottom>
    </border>
    <border>
      <left>
        <color indexed="63"/>
      </left>
      <right style="thin">
        <color indexed="23"/>
      </right>
      <top style="medium">
        <color indexed="23"/>
      </top>
      <bottom style="dotted">
        <color indexed="23"/>
      </bottom>
    </border>
    <border>
      <left style="medium">
        <color indexed="23"/>
      </left>
      <right style="thin">
        <color indexed="23"/>
      </right>
      <top style="dotted">
        <color indexed="23"/>
      </top>
      <bottom style="dotted">
        <color indexed="23"/>
      </bottom>
    </border>
    <border>
      <left>
        <color indexed="63"/>
      </left>
      <right style="thin">
        <color indexed="23"/>
      </right>
      <top style="dotted">
        <color indexed="23"/>
      </top>
      <bottom style="dotted">
        <color indexed="23"/>
      </bottom>
    </border>
    <border>
      <left style="medium">
        <color indexed="23"/>
      </left>
      <right style="thin">
        <color indexed="23"/>
      </right>
      <top style="dotted">
        <color indexed="23"/>
      </top>
      <bottom style="medium">
        <color indexed="23"/>
      </bottom>
    </border>
    <border>
      <left>
        <color indexed="63"/>
      </left>
      <right style="thin">
        <color indexed="23"/>
      </right>
      <top style="dotted">
        <color indexed="23"/>
      </top>
      <bottom style="medium">
        <color indexed="2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color indexed="63"/>
      </right>
      <top>
        <color indexed="63"/>
      </top>
      <bottom style="medium">
        <color indexed="23"/>
      </bottom>
    </border>
    <border>
      <left style="medium">
        <color indexed="23"/>
      </left>
      <right style="medium">
        <color indexed="23"/>
      </right>
      <top>
        <color indexed="63"/>
      </top>
      <bottom style="medium">
        <color indexed="23"/>
      </bottom>
    </border>
    <border>
      <left style="medium">
        <color indexed="23"/>
      </left>
      <right>
        <color indexed="63"/>
      </right>
      <top style="medium">
        <color indexed="23"/>
      </top>
      <bottom style="dotted">
        <color indexed="23"/>
      </bottom>
    </border>
    <border>
      <left style="medium">
        <color indexed="23"/>
      </left>
      <right style="thin">
        <color indexed="54"/>
      </right>
      <top style="dotted">
        <color indexed="23"/>
      </top>
      <bottom style="dotted">
        <color indexed="23"/>
      </bottom>
    </border>
    <border>
      <left style="medium">
        <color indexed="23"/>
      </left>
      <right>
        <color indexed="63"/>
      </right>
      <top style="dotted">
        <color indexed="23"/>
      </top>
      <bottom style="dotted">
        <color indexed="23"/>
      </bottom>
    </border>
    <border>
      <left style="thin">
        <color indexed="54"/>
      </left>
      <right>
        <color indexed="63"/>
      </right>
      <top style="dotted">
        <color indexed="23"/>
      </top>
      <bottom style="dotted">
        <color indexed="23"/>
      </bottom>
    </border>
    <border>
      <left>
        <color indexed="63"/>
      </left>
      <right style="thin">
        <color indexed="54"/>
      </right>
      <top style="dotted">
        <color indexed="23"/>
      </top>
      <bottom style="dotted">
        <color indexed="23"/>
      </bottom>
    </border>
    <border>
      <left style="medium">
        <color indexed="23"/>
      </left>
      <right style="thin">
        <color indexed="54"/>
      </right>
      <top style="medium">
        <color indexed="23"/>
      </top>
      <bottom style="dotted">
        <color indexed="23"/>
      </bottom>
    </border>
    <border>
      <left style="medium">
        <color indexed="23"/>
      </left>
      <right style="thin">
        <color indexed="54"/>
      </right>
      <top>
        <color indexed="63"/>
      </top>
      <bottom style="dotted">
        <color indexed="2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dotted">
        <color indexed="55"/>
      </left>
      <right style="dotted">
        <color indexed="55"/>
      </right>
      <top style="dotted">
        <color indexed="55"/>
      </top>
      <bottom style="dotted">
        <color indexed="55"/>
      </bottom>
    </border>
    <border>
      <left style="dotted">
        <color indexed="55"/>
      </left>
      <right>
        <color indexed="63"/>
      </right>
      <top style="dotted">
        <color indexed="55"/>
      </top>
      <bottom style="dotted">
        <color indexed="55"/>
      </bottom>
    </border>
    <border>
      <left>
        <color indexed="63"/>
      </left>
      <right>
        <color indexed="63"/>
      </right>
      <top style="dotted">
        <color indexed="55"/>
      </top>
      <bottom style="dotted">
        <color indexed="55"/>
      </bottom>
    </border>
    <border>
      <left>
        <color indexed="63"/>
      </left>
      <right style="dotted">
        <color indexed="55"/>
      </right>
      <top style="dotted">
        <color indexed="55"/>
      </top>
      <bottom style="dotted">
        <color indexed="55"/>
      </bottom>
    </border>
    <border>
      <left style="dotted">
        <color indexed="55"/>
      </left>
      <right>
        <color indexed="63"/>
      </right>
      <top style="dotted">
        <color indexed="55"/>
      </top>
      <bottom>
        <color indexed="63"/>
      </bottom>
    </border>
    <border>
      <left>
        <color indexed="63"/>
      </left>
      <right>
        <color indexed="63"/>
      </right>
      <top style="dotted">
        <color indexed="55"/>
      </top>
      <bottom>
        <color indexed="63"/>
      </bottom>
    </border>
    <border>
      <left>
        <color indexed="63"/>
      </left>
      <right style="dotted">
        <color indexed="55"/>
      </right>
      <top style="dotted">
        <color indexed="55"/>
      </top>
      <bottom>
        <color indexed="63"/>
      </bottom>
    </border>
    <border>
      <left style="dotted">
        <color indexed="55"/>
      </left>
      <right>
        <color indexed="63"/>
      </right>
      <top>
        <color indexed="63"/>
      </top>
      <bottom>
        <color indexed="63"/>
      </bottom>
    </border>
    <border>
      <left>
        <color indexed="63"/>
      </left>
      <right style="dotted">
        <color indexed="55"/>
      </right>
      <top>
        <color indexed="63"/>
      </top>
      <bottom>
        <color indexed="63"/>
      </bottom>
    </border>
    <border>
      <left>
        <color indexed="63"/>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23"/>
      </left>
      <right>
        <color indexed="63"/>
      </right>
      <top style="medium">
        <color indexed="23"/>
      </top>
      <bottom style="medium">
        <color indexed="23"/>
      </bottom>
    </border>
    <border>
      <left style="thin">
        <color indexed="23"/>
      </left>
      <right style="thin">
        <color indexed="23"/>
      </right>
      <top style="medium">
        <color indexed="23"/>
      </top>
      <bottom style="dotted">
        <color indexed="23"/>
      </bottom>
    </border>
    <border>
      <left style="thin">
        <color indexed="23"/>
      </left>
      <right>
        <color indexed="63"/>
      </right>
      <top style="medium">
        <color indexed="23"/>
      </top>
      <bottom style="dotted">
        <color indexed="23"/>
      </bottom>
    </border>
    <border>
      <left style="thin">
        <color indexed="23"/>
      </left>
      <right style="medium">
        <color indexed="23"/>
      </right>
      <top style="medium">
        <color indexed="23"/>
      </top>
      <bottom style="dotted">
        <color indexed="23"/>
      </bottom>
    </border>
    <border>
      <left style="thin">
        <color indexed="23"/>
      </left>
      <right style="thin">
        <color indexed="23"/>
      </right>
      <top style="dotted">
        <color indexed="23"/>
      </top>
      <bottom style="dotted">
        <color indexed="23"/>
      </bottom>
    </border>
    <border>
      <left style="thin">
        <color indexed="23"/>
      </left>
      <right>
        <color indexed="63"/>
      </right>
      <top style="dotted">
        <color indexed="23"/>
      </top>
      <bottom style="dotted">
        <color indexed="23"/>
      </bottom>
    </border>
    <border>
      <left style="thin">
        <color indexed="23"/>
      </left>
      <right style="medium">
        <color indexed="23"/>
      </right>
      <top style="dotted">
        <color indexed="23"/>
      </top>
      <bottom style="dotted">
        <color indexed="23"/>
      </bottom>
    </border>
    <border>
      <left style="thin">
        <color indexed="23"/>
      </left>
      <right style="thin">
        <color indexed="23"/>
      </right>
      <top style="dotted">
        <color indexed="23"/>
      </top>
      <bottom style="dotted">
        <color indexed="54"/>
      </bottom>
    </border>
    <border>
      <left style="thin">
        <color indexed="23"/>
      </left>
      <right style="thin">
        <color indexed="23"/>
      </right>
      <top style="dotted">
        <color indexed="23"/>
      </top>
      <bottom style="medium">
        <color indexed="23"/>
      </bottom>
    </border>
    <border>
      <left style="thin">
        <color indexed="23"/>
      </left>
      <right>
        <color indexed="63"/>
      </right>
      <top style="dotted">
        <color indexed="23"/>
      </top>
      <bottom style="medium">
        <color indexed="23"/>
      </bottom>
    </border>
    <border>
      <left style="thin">
        <color indexed="23"/>
      </left>
      <right style="medium">
        <color indexed="23"/>
      </right>
      <top style="dotted">
        <color indexed="23"/>
      </top>
      <bottom style="medium">
        <color indexed="23"/>
      </bottom>
    </border>
    <border>
      <left style="medium">
        <color indexed="23"/>
      </left>
      <right style="medium">
        <color indexed="23"/>
      </right>
      <top style="medium">
        <color indexed="23"/>
      </top>
      <bottom>
        <color indexed="63"/>
      </bottom>
    </border>
    <border>
      <left style="medium">
        <color indexed="23"/>
      </left>
      <right style="thin">
        <color indexed="23"/>
      </right>
      <top style="medium">
        <color indexed="23"/>
      </top>
      <bottom style="medium">
        <color indexed="23"/>
      </bottom>
    </border>
    <border>
      <left style="thin">
        <color indexed="23"/>
      </left>
      <right style="thin">
        <color indexed="23"/>
      </right>
      <top style="medium">
        <color indexed="23"/>
      </top>
      <bottom style="medium">
        <color indexed="23"/>
      </bottom>
    </border>
    <border>
      <left style="thin">
        <color indexed="23"/>
      </left>
      <right style="medium">
        <color indexed="23"/>
      </right>
      <top style="medium">
        <color indexed="23"/>
      </top>
      <bottom style="medium">
        <color indexed="23"/>
      </bottom>
    </border>
    <border>
      <left style="thin">
        <color indexed="54"/>
      </left>
      <right style="thin">
        <color indexed="54"/>
      </right>
      <top style="medium">
        <color indexed="23"/>
      </top>
      <bottom style="dotted">
        <color indexed="23"/>
      </bottom>
    </border>
    <border>
      <left style="thin">
        <color indexed="54"/>
      </left>
      <right style="thin">
        <color indexed="54"/>
      </right>
      <top style="dotted">
        <color indexed="23"/>
      </top>
      <bottom style="dotted">
        <color indexed="23"/>
      </bottom>
    </border>
    <border>
      <left style="thin">
        <color indexed="23"/>
      </left>
      <right style="thin">
        <color indexed="23"/>
      </right>
      <top style="dotted">
        <color indexed="54"/>
      </top>
      <bottom style="dotted">
        <color indexed="54"/>
      </bottom>
    </border>
    <border>
      <left style="thin">
        <color indexed="54"/>
      </left>
      <right style="thin">
        <color indexed="23"/>
      </right>
      <top style="dotted">
        <color indexed="23"/>
      </top>
      <bottom style="dotted">
        <color indexed="23"/>
      </bottom>
    </border>
    <border>
      <left>
        <color indexed="63"/>
      </left>
      <right style="thin">
        <color indexed="23"/>
      </right>
      <top style="dotted">
        <color indexed="54"/>
      </top>
      <bottom style="dotted">
        <color indexed="54"/>
      </bottom>
    </border>
    <border>
      <left style="thin">
        <color indexed="54"/>
      </left>
      <right style="thin">
        <color indexed="23"/>
      </right>
      <top style="dotted">
        <color indexed="23"/>
      </top>
      <bottom>
        <color indexed="63"/>
      </bottom>
    </border>
    <border>
      <left>
        <color indexed="63"/>
      </left>
      <right style="medium">
        <color indexed="23"/>
      </right>
      <top style="medium">
        <color indexed="23"/>
      </top>
      <bottom style="medium">
        <color indexed="23"/>
      </bottom>
    </border>
    <border>
      <left style="medium">
        <color indexed="8"/>
      </left>
      <right style="medium">
        <color indexed="8"/>
      </right>
      <top style="medium">
        <color indexed="8"/>
      </top>
      <bottom style="medium">
        <color indexed="8"/>
      </bottom>
    </border>
    <border>
      <left>
        <color indexed="63"/>
      </left>
      <right>
        <color indexed="63"/>
      </right>
      <top>
        <color indexed="63"/>
      </top>
      <bottom style="dotted">
        <color indexed="55"/>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72" fillId="20" borderId="2" applyNumberFormat="0" applyAlignment="0" applyProtection="0"/>
    <xf numFmtId="164" fontId="0" fillId="0" borderId="0" applyFill="0" applyBorder="0" applyAlignment="0" applyProtection="0"/>
    <xf numFmtId="42" fontId="1" fillId="0" borderId="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1" borderId="0" applyNumberFormat="0" applyBorder="0" applyAlignment="0" applyProtection="0"/>
    <xf numFmtId="0" fontId="0" fillId="22" borderId="6" applyNumberFormat="0" applyFont="0" applyAlignment="0" applyProtection="0"/>
    <xf numFmtId="9" fontId="1" fillId="0" borderId="0" applyFill="0" applyBorder="0" applyAlignment="0" applyProtection="0"/>
    <xf numFmtId="0" fontId="78" fillId="0" borderId="7" applyNumberFormat="0" applyFill="0" applyAlignment="0" applyProtection="0"/>
    <xf numFmtId="0" fontId="79" fillId="23" borderId="0" applyNumberFormat="0" applyBorder="0" applyAlignment="0" applyProtection="0"/>
    <xf numFmtId="0" fontId="80" fillId="24" borderId="0" applyNumberFormat="0" applyBorder="0" applyAlignment="0" applyProtection="0"/>
    <xf numFmtId="0" fontId="81" fillId="0" borderId="0" applyNumberFormat="0" applyFill="0" applyBorder="0" applyAlignment="0" applyProtection="0"/>
    <xf numFmtId="0" fontId="82" fillId="25" borderId="8" applyNumberFormat="0" applyAlignment="0" applyProtection="0"/>
    <xf numFmtId="0" fontId="83" fillId="26" borderId="8" applyNumberFormat="0" applyAlignment="0" applyProtection="0"/>
    <xf numFmtId="0" fontId="84" fillId="26" borderId="9" applyNumberFormat="0" applyAlignment="0" applyProtection="0"/>
    <xf numFmtId="0" fontId="85" fillId="0" borderId="0" applyNumberFormat="0" applyFill="0" applyBorder="0" applyAlignment="0" applyProtection="0"/>
    <xf numFmtId="0" fontId="86"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cellStyleXfs>
  <cellXfs count="390">
    <xf numFmtId="0" fontId="0" fillId="0" borderId="0" xfId="0" applyAlignment="1">
      <alignment/>
    </xf>
    <xf numFmtId="0" fontId="2" fillId="0" borderId="0" xfId="0" applyNumberFormat="1" applyFont="1" applyFill="1" applyBorder="1" applyAlignment="1" applyProtection="1">
      <alignment/>
      <protection/>
    </xf>
    <xf numFmtId="0" fontId="1" fillId="0" borderId="1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6" fillId="33" borderId="11" xfId="0" applyNumberFormat="1" applyFont="1" applyFill="1" applyBorder="1" applyAlignment="1" applyProtection="1">
      <alignment horizontal="center" vertical="center"/>
      <protection/>
    </xf>
    <xf numFmtId="0" fontId="6" fillId="33"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left" vertical="center"/>
      <protection/>
    </xf>
    <xf numFmtId="0" fontId="9" fillId="0" borderId="14" xfId="0" applyNumberFormat="1" applyFont="1" applyFill="1" applyBorder="1" applyAlignment="1" applyProtection="1">
      <alignment horizontal="left" vertical="center"/>
      <protection/>
    </xf>
    <xf numFmtId="4" fontId="9" fillId="0" borderId="14" xfId="0" applyNumberFormat="1" applyFont="1" applyFill="1" applyBorder="1" applyAlignment="1" applyProtection="1">
      <alignment horizontal="right" vertical="center"/>
      <protection/>
    </xf>
    <xf numFmtId="0" fontId="9" fillId="0" borderId="14" xfId="0" applyNumberFormat="1" applyFont="1" applyFill="1" applyBorder="1" applyAlignment="1" applyProtection="1">
      <alignment horizontal="right" vertical="center"/>
      <protection/>
    </xf>
    <xf numFmtId="0" fontId="8" fillId="0" borderId="15" xfId="0" applyNumberFormat="1" applyFont="1" applyFill="1" applyBorder="1" applyAlignment="1" applyProtection="1">
      <alignment horizontal="left" vertical="center"/>
      <protection/>
    </xf>
    <xf numFmtId="4" fontId="9" fillId="0" borderId="10" xfId="0" applyNumberFormat="1" applyFont="1" applyFill="1" applyBorder="1" applyAlignment="1" applyProtection="1">
      <alignment horizontal="right" vertical="center"/>
      <protection/>
    </xf>
    <xf numFmtId="0" fontId="9" fillId="0" borderId="10" xfId="0" applyNumberFormat="1" applyFont="1" applyFill="1" applyBorder="1" applyAlignment="1" applyProtection="1">
      <alignment horizontal="right" vertical="center"/>
      <protection/>
    </xf>
    <xf numFmtId="4" fontId="9" fillId="0" borderId="12" xfId="0" applyNumberFormat="1" applyFont="1" applyFill="1" applyBorder="1" applyAlignment="1" applyProtection="1">
      <alignment horizontal="right" vertical="center"/>
      <protection/>
    </xf>
    <xf numFmtId="4" fontId="9" fillId="0" borderId="16" xfId="0" applyNumberFormat="1" applyFont="1" applyFill="1" applyBorder="1" applyAlignment="1" applyProtection="1">
      <alignment horizontal="right" vertical="center"/>
      <protection/>
    </xf>
    <xf numFmtId="4" fontId="8" fillId="33" borderId="12" xfId="0" applyNumberFormat="1" applyFont="1" applyFill="1" applyBorder="1" applyAlignment="1" applyProtection="1">
      <alignment horizontal="right" vertical="center"/>
      <protection/>
    </xf>
    <xf numFmtId="4" fontId="8" fillId="33" borderId="14"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left" vertical="center"/>
      <protection/>
    </xf>
    <xf numFmtId="4" fontId="1" fillId="0"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horizontal="right" vertical="center"/>
      <protection/>
    </xf>
    <xf numFmtId="0" fontId="11" fillId="0" borderId="2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protection/>
    </xf>
    <xf numFmtId="4" fontId="11" fillId="0" borderId="0" xfId="0" applyNumberFormat="1" applyFont="1" applyFill="1" applyBorder="1" applyAlignment="1" applyProtection="1">
      <alignment horizontal="right" vertical="center"/>
      <protection/>
    </xf>
    <xf numFmtId="0" fontId="11"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left" vertical="center"/>
      <protection/>
    </xf>
    <xf numFmtId="4" fontId="4" fillId="0" borderId="0" xfId="0" applyNumberFormat="1" applyFont="1" applyFill="1" applyBorder="1" applyAlignment="1" applyProtection="1">
      <alignment horizontal="right" vertical="center"/>
      <protection/>
    </xf>
    <xf numFmtId="4" fontId="4" fillId="33" borderId="0" xfId="0" applyNumberFormat="1" applyFont="1" applyFill="1" applyBorder="1" applyAlignment="1" applyProtection="1">
      <alignment horizontal="right" vertical="center"/>
      <protection/>
    </xf>
    <xf numFmtId="0" fontId="4" fillId="0" borderId="21"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protection/>
    </xf>
    <xf numFmtId="0" fontId="4" fillId="33"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1" fillId="0" borderId="23" xfId="0" applyNumberFormat="1" applyFont="1" applyFill="1" applyBorder="1" applyAlignment="1" applyProtection="1">
      <alignment horizontal="left" vertical="center"/>
      <protection/>
    </xf>
    <xf numFmtId="0" fontId="1" fillId="0" borderId="16"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center" vertical="center"/>
      <protection/>
    </xf>
    <xf numFmtId="0" fontId="4" fillId="0" borderId="25"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26" xfId="0" applyNumberFormat="1" applyFont="1" applyFill="1" applyBorder="1" applyAlignment="1" applyProtection="1">
      <alignment horizontal="center" vertical="center"/>
      <protection/>
    </xf>
    <xf numFmtId="0" fontId="1" fillId="33" borderId="20" xfId="0" applyNumberFormat="1" applyFont="1" applyFill="1" applyBorder="1" applyAlignment="1" applyProtection="1">
      <alignment horizontal="left" vertical="center"/>
      <protection/>
    </xf>
    <xf numFmtId="0" fontId="4" fillId="33" borderId="0" xfId="0" applyNumberFormat="1" applyFont="1" applyFill="1" applyBorder="1" applyAlignment="1" applyProtection="1">
      <alignment horizontal="left" vertical="center"/>
      <protection/>
    </xf>
    <xf numFmtId="0" fontId="1" fillId="33" borderId="0" xfId="0" applyNumberFormat="1" applyFont="1" applyFill="1" applyBorder="1" applyAlignment="1" applyProtection="1">
      <alignment horizontal="left" vertical="center"/>
      <protection/>
    </xf>
    <xf numFmtId="0" fontId="4" fillId="33" borderId="1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right" vertical="center"/>
      <protection/>
    </xf>
    <xf numFmtId="0" fontId="2" fillId="0" borderId="20" xfId="0" applyNumberFormat="1" applyFont="1" applyFill="1" applyBorder="1" applyAlignment="1" applyProtection="1">
      <alignment/>
      <protection/>
    </xf>
    <xf numFmtId="0" fontId="12" fillId="0" borderId="0" xfId="0" applyNumberFormat="1" applyFont="1" applyFill="1" applyBorder="1" applyAlignment="1" applyProtection="1">
      <alignment horizontal="left" vertical="center"/>
      <protection/>
    </xf>
    <xf numFmtId="4" fontId="12" fillId="0" borderId="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protection/>
    </xf>
    <xf numFmtId="0" fontId="12" fillId="0" borderId="0" xfId="0" applyNumberFormat="1" applyFont="1" applyFill="1" applyBorder="1" applyAlignment="1" applyProtection="1">
      <alignment horizontal="right" vertical="center"/>
      <protection/>
    </xf>
    <xf numFmtId="0" fontId="11" fillId="33" borderId="20" xfId="0" applyNumberFormat="1" applyFont="1" applyFill="1" applyBorder="1" applyAlignment="1" applyProtection="1">
      <alignment horizontal="left" vertical="center"/>
      <protection/>
    </xf>
    <xf numFmtId="0" fontId="13" fillId="33" borderId="0" xfId="0" applyNumberFormat="1" applyFont="1" applyFill="1" applyBorder="1" applyAlignment="1" applyProtection="1">
      <alignment horizontal="left" vertical="center"/>
      <protection/>
    </xf>
    <xf numFmtId="0" fontId="11" fillId="33" borderId="0" xfId="0" applyNumberFormat="1" applyFont="1" applyFill="1" applyBorder="1" applyAlignment="1" applyProtection="1">
      <alignment horizontal="left" vertical="center"/>
      <protection/>
    </xf>
    <xf numFmtId="4" fontId="13" fillId="33" borderId="0" xfId="0" applyNumberFormat="1" applyFont="1" applyFill="1" applyBorder="1" applyAlignment="1" applyProtection="1">
      <alignment horizontal="right" vertical="center"/>
      <protection/>
    </xf>
    <xf numFmtId="0" fontId="13" fillId="33" borderId="10" xfId="0" applyNumberFormat="1" applyFont="1" applyFill="1" applyBorder="1" applyAlignment="1" applyProtection="1">
      <alignment horizontal="right" vertical="center"/>
      <protection/>
    </xf>
    <xf numFmtId="0" fontId="13" fillId="33" borderId="0" xfId="0" applyNumberFormat="1" applyFont="1" applyFill="1" applyBorder="1" applyAlignment="1" applyProtection="1">
      <alignment horizontal="right" vertical="center"/>
      <protection/>
    </xf>
    <xf numFmtId="0" fontId="11" fillId="0" borderId="10" xfId="0" applyNumberFormat="1" applyFont="1" applyFill="1" applyBorder="1" applyAlignment="1" applyProtection="1">
      <alignment horizontal="right" vertical="center"/>
      <protection/>
    </xf>
    <xf numFmtId="0" fontId="14" fillId="0" borderId="0" xfId="0" applyNumberFormat="1" applyFont="1" applyFill="1" applyBorder="1" applyAlignment="1" applyProtection="1">
      <alignment horizontal="left" vertical="center"/>
      <protection/>
    </xf>
    <xf numFmtId="4" fontId="14" fillId="0" borderId="0" xfId="0" applyNumberFormat="1" applyFont="1" applyFill="1" applyBorder="1" applyAlignment="1" applyProtection="1">
      <alignment horizontal="right" vertical="center"/>
      <protection/>
    </xf>
    <xf numFmtId="0" fontId="2" fillId="0" borderId="27" xfId="0" applyNumberFormat="1" applyFont="1" applyFill="1" applyBorder="1" applyAlignment="1" applyProtection="1">
      <alignment/>
      <protection/>
    </xf>
    <xf numFmtId="0" fontId="2" fillId="0" borderId="28" xfId="0" applyNumberFormat="1" applyFont="1" applyFill="1" applyBorder="1" applyAlignment="1" applyProtection="1">
      <alignment/>
      <protection/>
    </xf>
    <xf numFmtId="0" fontId="12" fillId="0" borderId="28" xfId="0" applyNumberFormat="1" applyFont="1" applyFill="1" applyBorder="1" applyAlignment="1" applyProtection="1">
      <alignment horizontal="left" vertical="center"/>
      <protection/>
    </xf>
    <xf numFmtId="4" fontId="12" fillId="0" borderId="28" xfId="0" applyNumberFormat="1" applyFont="1" applyFill="1" applyBorder="1" applyAlignment="1" applyProtection="1">
      <alignment horizontal="right" vertical="center"/>
      <protection/>
    </xf>
    <xf numFmtId="0" fontId="2" fillId="0" borderId="14" xfId="0" applyNumberFormat="1" applyFont="1" applyFill="1" applyBorder="1" applyAlignment="1" applyProtection="1">
      <alignment/>
      <protection/>
    </xf>
    <xf numFmtId="165" fontId="15" fillId="0" borderId="0" xfId="37" applyNumberFormat="1" applyFont="1" applyFill="1" applyBorder="1" applyAlignment="1" applyProtection="1">
      <alignment/>
      <protection/>
    </xf>
    <xf numFmtId="165" fontId="17" fillId="34" borderId="0" xfId="37" applyNumberFormat="1" applyFont="1" applyFill="1" applyBorder="1" applyAlignment="1" applyProtection="1">
      <alignment horizontal="center"/>
      <protection/>
    </xf>
    <xf numFmtId="49" fontId="17" fillId="34" borderId="0" xfId="0" applyNumberFormat="1" applyFont="1" applyFill="1" applyAlignment="1">
      <alignment horizontal="center"/>
    </xf>
    <xf numFmtId="0" fontId="17" fillId="34" borderId="0" xfId="0" applyFont="1" applyFill="1" applyAlignment="1">
      <alignment horizontal="center"/>
    </xf>
    <xf numFmtId="0" fontId="0" fillId="34" borderId="0" xfId="0" applyFill="1" applyAlignment="1">
      <alignment/>
    </xf>
    <xf numFmtId="0" fontId="18" fillId="0" borderId="0" xfId="0" applyFont="1" applyAlignment="1">
      <alignment/>
    </xf>
    <xf numFmtId="165" fontId="19" fillId="0" borderId="0" xfId="37" applyNumberFormat="1" applyFont="1" applyFill="1" applyBorder="1" applyAlignment="1" applyProtection="1">
      <alignment/>
      <protection/>
    </xf>
    <xf numFmtId="49" fontId="20" fillId="0" borderId="0" xfId="0" applyNumberFormat="1" applyFont="1" applyAlignment="1">
      <alignment/>
    </xf>
    <xf numFmtId="0" fontId="20" fillId="0" borderId="0" xfId="0" applyFont="1" applyAlignment="1">
      <alignment/>
    </xf>
    <xf numFmtId="0" fontId="20" fillId="0" borderId="0" xfId="0" applyFont="1" applyAlignment="1">
      <alignment horizontal="left"/>
    </xf>
    <xf numFmtId="165" fontId="20" fillId="0" borderId="0" xfId="37" applyNumberFormat="1" applyFont="1" applyFill="1" applyBorder="1" applyAlignment="1" applyProtection="1">
      <alignment/>
      <protection/>
    </xf>
    <xf numFmtId="0" fontId="17" fillId="0" borderId="0" xfId="0" applyFont="1" applyAlignment="1">
      <alignment/>
    </xf>
    <xf numFmtId="49" fontId="20" fillId="0" borderId="0" xfId="0" applyNumberFormat="1" applyFont="1" applyFill="1" applyAlignment="1">
      <alignment/>
    </xf>
    <xf numFmtId="0" fontId="20" fillId="0" borderId="0" xfId="0" applyFont="1" applyFill="1" applyAlignment="1">
      <alignment/>
    </xf>
    <xf numFmtId="0" fontId="20" fillId="0" borderId="0" xfId="0" applyFont="1" applyFill="1" applyAlignment="1">
      <alignment horizontal="left"/>
    </xf>
    <xf numFmtId="49" fontId="21" fillId="0" borderId="0" xfId="0" applyNumberFormat="1" applyFont="1" applyFill="1" applyAlignment="1">
      <alignment/>
    </xf>
    <xf numFmtId="0" fontId="21" fillId="0" borderId="0" xfId="0" applyFont="1" applyFill="1" applyAlignment="1">
      <alignment/>
    </xf>
    <xf numFmtId="0" fontId="21" fillId="0" borderId="0" xfId="0" applyFont="1" applyFill="1" applyAlignment="1">
      <alignment/>
    </xf>
    <xf numFmtId="0" fontId="21" fillId="0" borderId="0" xfId="0" applyFont="1" applyFill="1" applyAlignment="1">
      <alignment horizontal="left"/>
    </xf>
    <xf numFmtId="0" fontId="0" fillId="0" borderId="0" xfId="0" applyFill="1" applyAlignment="1">
      <alignment/>
    </xf>
    <xf numFmtId="0" fontId="0" fillId="0" borderId="0" xfId="0" applyFont="1" applyAlignment="1">
      <alignment horizontal="right"/>
    </xf>
    <xf numFmtId="49" fontId="21" fillId="0" borderId="0" xfId="0" applyNumberFormat="1" applyFont="1" applyAlignment="1">
      <alignment/>
    </xf>
    <xf numFmtId="0" fontId="21" fillId="0" borderId="0" xfId="0" applyFont="1" applyAlignment="1">
      <alignment/>
    </xf>
    <xf numFmtId="0" fontId="21" fillId="0" borderId="0" xfId="0" applyFont="1" applyAlignment="1">
      <alignment/>
    </xf>
    <xf numFmtId="0" fontId="21" fillId="0" borderId="0" xfId="0" applyFont="1" applyAlignment="1">
      <alignment horizontal="left"/>
    </xf>
    <xf numFmtId="0" fontId="21" fillId="0" borderId="0" xfId="0" applyFont="1" applyAlignment="1">
      <alignment horizontal="right"/>
    </xf>
    <xf numFmtId="1" fontId="20" fillId="0" borderId="0" xfId="0" applyNumberFormat="1" applyFont="1" applyAlignment="1">
      <alignment horizontal="right"/>
    </xf>
    <xf numFmtId="49" fontId="17" fillId="0" borderId="0" xfId="0" applyNumberFormat="1" applyFont="1" applyAlignment="1">
      <alignment/>
    </xf>
    <xf numFmtId="0" fontId="22" fillId="0" borderId="0" xfId="0" applyFont="1" applyAlignment="1">
      <alignment/>
    </xf>
    <xf numFmtId="1" fontId="20" fillId="0" borderId="0" xfId="0" applyNumberFormat="1" applyFont="1" applyAlignment="1">
      <alignment/>
    </xf>
    <xf numFmtId="49" fontId="20" fillId="0" borderId="29" xfId="0" applyNumberFormat="1" applyFont="1" applyBorder="1" applyAlignment="1">
      <alignment/>
    </xf>
    <xf numFmtId="0" fontId="20" fillId="0" borderId="29" xfId="0" applyFont="1" applyBorder="1" applyAlignment="1">
      <alignment/>
    </xf>
    <xf numFmtId="1" fontId="20" fillId="0" borderId="29" xfId="0" applyNumberFormat="1" applyFont="1" applyBorder="1" applyAlignment="1">
      <alignment horizontal="right"/>
    </xf>
    <xf numFmtId="165" fontId="20" fillId="0" borderId="29" xfId="37" applyNumberFormat="1" applyFont="1" applyFill="1" applyBorder="1" applyAlignment="1" applyProtection="1">
      <alignment/>
      <protection/>
    </xf>
    <xf numFmtId="165" fontId="15" fillId="0" borderId="29" xfId="37" applyNumberFormat="1" applyFont="1" applyFill="1" applyBorder="1" applyAlignment="1" applyProtection="1">
      <alignment/>
      <protection/>
    </xf>
    <xf numFmtId="165" fontId="18" fillId="0" borderId="0" xfId="37" applyNumberFormat="1" applyFont="1" applyFill="1" applyBorder="1" applyAlignment="1" applyProtection="1">
      <alignment/>
      <protection/>
    </xf>
    <xf numFmtId="0" fontId="23" fillId="35" borderId="0" xfId="0" applyFont="1" applyFill="1" applyAlignment="1">
      <alignment horizontal="left" vertical="center" indent="2"/>
    </xf>
    <xf numFmtId="0" fontId="0" fillId="35" borderId="0" xfId="0" applyFill="1" applyAlignment="1">
      <alignment horizontal="left" vertical="center" indent="2"/>
    </xf>
    <xf numFmtId="0" fontId="23" fillId="35" borderId="0" xfId="0" applyFont="1" applyFill="1" applyAlignment="1">
      <alignment vertical="center"/>
    </xf>
    <xf numFmtId="0" fontId="26" fillId="35" borderId="0" xfId="0" applyFont="1" applyFill="1" applyAlignment="1">
      <alignment vertical="center"/>
    </xf>
    <xf numFmtId="0" fontId="29" fillId="35" borderId="30" xfId="0" applyFont="1" applyFill="1" applyBorder="1" applyAlignment="1">
      <alignment horizontal="center" vertical="center"/>
    </xf>
    <xf numFmtId="0" fontId="23" fillId="35" borderId="31" xfId="0" applyFont="1" applyFill="1" applyBorder="1" applyAlignment="1">
      <alignment horizontal="center" vertical="center"/>
    </xf>
    <xf numFmtId="0" fontId="23" fillId="35" borderId="32" xfId="0" applyFont="1" applyFill="1" applyBorder="1" applyAlignment="1">
      <alignment horizontal="left" vertical="center"/>
    </xf>
    <xf numFmtId="0" fontId="23" fillId="35" borderId="33" xfId="0" applyFont="1" applyFill="1" applyBorder="1" applyAlignment="1">
      <alignment horizontal="center" vertical="center"/>
    </xf>
    <xf numFmtId="0" fontId="23" fillId="35" borderId="34" xfId="0" applyFont="1" applyFill="1" applyBorder="1" applyAlignment="1">
      <alignment horizontal="left" vertical="center"/>
    </xf>
    <xf numFmtId="0" fontId="23" fillId="35" borderId="35" xfId="0" applyFont="1" applyFill="1" applyBorder="1" applyAlignment="1">
      <alignment horizontal="center" vertical="center"/>
    </xf>
    <xf numFmtId="0" fontId="23" fillId="35" borderId="36" xfId="0" applyFont="1" applyFill="1" applyBorder="1" applyAlignment="1">
      <alignment horizontal="left" vertical="center"/>
    </xf>
    <xf numFmtId="0" fontId="23" fillId="35" borderId="37" xfId="0" applyFont="1" applyFill="1" applyBorder="1" applyAlignment="1">
      <alignment horizontal="left" vertical="center" indent="2"/>
    </xf>
    <xf numFmtId="0" fontId="23" fillId="35" borderId="37" xfId="0" applyFont="1" applyFill="1" applyBorder="1" applyAlignment="1">
      <alignment horizontal="center" vertical="center"/>
    </xf>
    <xf numFmtId="0" fontId="23" fillId="35" borderId="38" xfId="0" applyFont="1" applyFill="1" applyBorder="1" applyAlignment="1">
      <alignment vertical="center"/>
    </xf>
    <xf numFmtId="0" fontId="23" fillId="0" borderId="0" xfId="0" applyFont="1" applyAlignment="1">
      <alignment horizontal="left" vertical="center" indent="2"/>
    </xf>
    <xf numFmtId="0" fontId="23" fillId="35" borderId="0" xfId="0" applyFont="1" applyFill="1" applyAlignment="1">
      <alignment horizontal="center" vertical="center"/>
    </xf>
    <xf numFmtId="0" fontId="23" fillId="35" borderId="39" xfId="0" applyFont="1" applyFill="1" applyBorder="1" applyAlignment="1">
      <alignment horizontal="right" vertical="center" indent="2"/>
    </xf>
    <xf numFmtId="166" fontId="25" fillId="35" borderId="39" xfId="0" applyNumberFormat="1" applyFont="1" applyFill="1" applyBorder="1" applyAlignment="1">
      <alignment horizontal="center" vertical="center"/>
    </xf>
    <xf numFmtId="0" fontId="28" fillId="35" borderId="37" xfId="0" applyFont="1" applyFill="1" applyBorder="1" applyAlignment="1">
      <alignment vertical="center"/>
    </xf>
    <xf numFmtId="0" fontId="23" fillId="35" borderId="37" xfId="0" applyFont="1" applyFill="1" applyBorder="1" applyAlignment="1">
      <alignment horizontal="right" vertical="center" indent="2"/>
    </xf>
    <xf numFmtId="166" fontId="25" fillId="35" borderId="37" xfId="0" applyNumberFormat="1" applyFont="1" applyFill="1" applyBorder="1" applyAlignment="1">
      <alignment horizontal="center" vertical="center"/>
    </xf>
    <xf numFmtId="0" fontId="29" fillId="35" borderId="40" xfId="0" applyFont="1" applyFill="1" applyBorder="1" applyAlignment="1">
      <alignment horizontal="center" vertical="center"/>
    </xf>
    <xf numFmtId="0" fontId="23" fillId="35" borderId="41" xfId="0" applyFont="1" applyFill="1" applyBorder="1" applyAlignment="1">
      <alignment horizontal="center" vertical="center"/>
    </xf>
    <xf numFmtId="0" fontId="23" fillId="35" borderId="42" xfId="0" applyFont="1" applyFill="1" applyBorder="1" applyAlignment="1">
      <alignment horizontal="center" vertical="center"/>
    </xf>
    <xf numFmtId="0" fontId="23" fillId="35" borderId="43" xfId="0" applyFont="1" applyFill="1" applyBorder="1" applyAlignment="1">
      <alignment horizontal="center" vertical="center"/>
    </xf>
    <xf numFmtId="0" fontId="23" fillId="35" borderId="34" xfId="0" applyFont="1" applyFill="1" applyBorder="1" applyAlignment="1">
      <alignment horizontal="center" vertical="center"/>
    </xf>
    <xf numFmtId="167" fontId="23" fillId="35" borderId="0" xfId="0" applyNumberFormat="1" applyFont="1" applyFill="1" applyAlignment="1">
      <alignment horizontal="left" vertical="center" indent="2"/>
    </xf>
    <xf numFmtId="0" fontId="23" fillId="35" borderId="0" xfId="0" applyFont="1" applyFill="1" applyAlignment="1">
      <alignment horizontal="left" vertical="center"/>
    </xf>
    <xf numFmtId="0" fontId="23" fillId="35" borderId="44" xfId="0" applyFont="1" applyFill="1" applyBorder="1" applyAlignment="1">
      <alignment horizontal="center" vertical="center"/>
    </xf>
    <xf numFmtId="0" fontId="23" fillId="35" borderId="45" xfId="0" applyFont="1" applyFill="1" applyBorder="1" applyAlignment="1">
      <alignment horizontal="center" vertical="center"/>
    </xf>
    <xf numFmtId="0" fontId="23" fillId="35" borderId="46" xfId="0" applyFont="1" applyFill="1" applyBorder="1" applyAlignment="1">
      <alignment horizontal="center" vertical="center"/>
    </xf>
    <xf numFmtId="0" fontId="23" fillId="35" borderId="47" xfId="0" applyFont="1" applyFill="1" applyBorder="1" applyAlignment="1">
      <alignment horizontal="center" vertical="center"/>
    </xf>
    <xf numFmtId="0" fontId="29" fillId="0" borderId="40" xfId="0" applyFont="1" applyBorder="1" applyAlignment="1">
      <alignment horizontal="center" vertical="center"/>
    </xf>
    <xf numFmtId="0" fontId="31" fillId="35" borderId="0" xfId="0" applyFont="1" applyFill="1" applyAlignment="1">
      <alignment horizontal="left" vertical="center" indent="2"/>
    </xf>
    <xf numFmtId="0" fontId="38" fillId="0" borderId="0" xfId="0" applyFont="1" applyAlignment="1">
      <alignment/>
    </xf>
    <xf numFmtId="0" fontId="38" fillId="0" borderId="0" xfId="0" applyFont="1" applyAlignment="1">
      <alignment horizontal="left" vertical="center"/>
    </xf>
    <xf numFmtId="0" fontId="38" fillId="0" borderId="0" xfId="0" applyFont="1" applyAlignment="1">
      <alignment vertical="center"/>
    </xf>
    <xf numFmtId="0" fontId="38" fillId="0" borderId="48" xfId="0" applyFont="1" applyBorder="1" applyAlignment="1">
      <alignment vertical="center"/>
    </xf>
    <xf numFmtId="0" fontId="38" fillId="0" borderId="49" xfId="0" applyFont="1" applyBorder="1" applyAlignment="1">
      <alignment vertical="center"/>
    </xf>
    <xf numFmtId="0" fontId="38" fillId="0" borderId="50" xfId="0" applyFont="1" applyBorder="1" applyAlignment="1">
      <alignment vertical="center"/>
    </xf>
    <xf numFmtId="0" fontId="38" fillId="0" borderId="20" xfId="0" applyFont="1" applyBorder="1" applyAlignment="1">
      <alignment vertical="center"/>
    </xf>
    <xf numFmtId="0" fontId="38" fillId="0" borderId="10" xfId="0" applyFont="1" applyBorder="1" applyAlignment="1">
      <alignment vertical="center"/>
    </xf>
    <xf numFmtId="0" fontId="41"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38" fillId="33" borderId="0" xfId="0" applyFont="1" applyFill="1" applyAlignment="1">
      <alignment vertical="center"/>
    </xf>
    <xf numFmtId="0" fontId="45" fillId="0" borderId="0" xfId="0" applyFont="1" applyAlignment="1">
      <alignment horizontal="left" vertical="center"/>
    </xf>
    <xf numFmtId="0" fontId="46" fillId="0" borderId="0" xfId="0" applyFont="1" applyAlignment="1">
      <alignment horizontal="left" vertical="center"/>
    </xf>
    <xf numFmtId="0" fontId="46" fillId="0" borderId="0" xfId="0" applyFont="1" applyAlignment="1">
      <alignment vertical="center"/>
    </xf>
    <xf numFmtId="0" fontId="46" fillId="0" borderId="20" xfId="0" applyFont="1" applyBorder="1" applyAlignment="1">
      <alignment vertical="center"/>
    </xf>
    <xf numFmtId="0" fontId="46" fillId="0" borderId="10" xfId="0" applyFont="1" applyBorder="1" applyAlignment="1">
      <alignment vertical="center"/>
    </xf>
    <xf numFmtId="0" fontId="47" fillId="0" borderId="0" xfId="0" applyFont="1" applyAlignment="1">
      <alignment vertical="center"/>
    </xf>
    <xf numFmtId="0" fontId="47" fillId="0" borderId="20" xfId="0" applyFont="1" applyBorder="1" applyAlignment="1">
      <alignment vertical="center"/>
    </xf>
    <xf numFmtId="0" fontId="47" fillId="0" borderId="0" xfId="0" applyFont="1" applyAlignment="1">
      <alignment horizontal="left" vertical="center"/>
    </xf>
    <xf numFmtId="0" fontId="47" fillId="0" borderId="10" xfId="0" applyFont="1" applyBorder="1" applyAlignment="1">
      <alignment vertical="center"/>
    </xf>
    <xf numFmtId="0" fontId="38" fillId="0" borderId="51" xfId="0" applyFont="1" applyBorder="1" applyAlignment="1">
      <alignment vertical="center"/>
    </xf>
    <xf numFmtId="0" fontId="43" fillId="0" borderId="51" xfId="0" applyFont="1" applyBorder="1" applyAlignment="1">
      <alignment horizontal="center" vertical="center"/>
    </xf>
    <xf numFmtId="0" fontId="45" fillId="33" borderId="0" xfId="0" applyFont="1" applyFill="1" applyAlignment="1">
      <alignment horizontal="left" vertical="center"/>
    </xf>
    <xf numFmtId="0" fontId="38" fillId="0" borderId="27" xfId="0" applyFont="1" applyBorder="1" applyAlignment="1">
      <alignment vertical="center"/>
    </xf>
    <xf numFmtId="0" fontId="38" fillId="0" borderId="28" xfId="0" applyFont="1" applyBorder="1" applyAlignment="1">
      <alignment vertical="center"/>
    </xf>
    <xf numFmtId="0" fontId="38" fillId="0" borderId="14" xfId="0" applyFont="1" applyBorder="1" applyAlignment="1">
      <alignment vertical="center"/>
    </xf>
    <xf numFmtId="0" fontId="38" fillId="0" borderId="0" xfId="0" applyFont="1" applyAlignment="1">
      <alignment horizontal="center" vertical="center" wrapText="1"/>
    </xf>
    <xf numFmtId="0" fontId="38" fillId="0" borderId="20" xfId="0" applyFont="1" applyBorder="1" applyAlignment="1">
      <alignment horizontal="center" vertical="center" wrapText="1"/>
    </xf>
    <xf numFmtId="0" fontId="44" fillId="33" borderId="52" xfId="0" applyFont="1" applyFill="1" applyBorder="1" applyAlignment="1">
      <alignment horizontal="center" vertical="center" wrapText="1"/>
    </xf>
    <xf numFmtId="0" fontId="44" fillId="33" borderId="53" xfId="0" applyFont="1" applyFill="1" applyBorder="1" applyAlignment="1">
      <alignment horizontal="center" vertical="center" wrapText="1"/>
    </xf>
    <xf numFmtId="0" fontId="38" fillId="0" borderId="10" xfId="0" applyFont="1" applyBorder="1" applyAlignment="1">
      <alignment horizontal="center" vertical="center" wrapText="1"/>
    </xf>
    <xf numFmtId="0" fontId="43" fillId="0" borderId="52" xfId="0" applyFont="1" applyBorder="1" applyAlignment="1">
      <alignment horizontal="center" vertical="center" wrapText="1"/>
    </xf>
    <xf numFmtId="0" fontId="43" fillId="0" borderId="53" xfId="0" applyFont="1" applyBorder="1" applyAlignment="1">
      <alignment horizontal="center" vertical="center" wrapText="1"/>
    </xf>
    <xf numFmtId="0" fontId="43" fillId="0" borderId="54" xfId="0" applyFont="1" applyBorder="1" applyAlignment="1">
      <alignment horizontal="center" vertical="center" wrapText="1"/>
    </xf>
    <xf numFmtId="0" fontId="38" fillId="0" borderId="55" xfId="0" applyFont="1" applyBorder="1" applyAlignment="1">
      <alignment vertical="center"/>
    </xf>
    <xf numFmtId="0" fontId="38" fillId="0" borderId="56" xfId="0" applyFont="1" applyBorder="1" applyAlignment="1">
      <alignment vertical="center"/>
    </xf>
    <xf numFmtId="169" fontId="49" fillId="0" borderId="56" xfId="0" applyNumberFormat="1" applyFont="1" applyBorder="1" applyAlignment="1">
      <alignment/>
    </xf>
    <xf numFmtId="169" fontId="49" fillId="0" borderId="57" xfId="0" applyNumberFormat="1" applyFont="1" applyBorder="1" applyAlignment="1">
      <alignment/>
    </xf>
    <xf numFmtId="4" fontId="50" fillId="0" borderId="0" xfId="0" applyNumberFormat="1" applyFont="1" applyAlignment="1">
      <alignment vertical="center"/>
    </xf>
    <xf numFmtId="0" fontId="51" fillId="0" borderId="0" xfId="0" applyFont="1" applyAlignment="1">
      <alignment/>
    </xf>
    <xf numFmtId="0" fontId="51" fillId="0" borderId="20" xfId="0" applyFont="1" applyBorder="1" applyAlignment="1">
      <alignment/>
    </xf>
    <xf numFmtId="0" fontId="46" fillId="0" borderId="0" xfId="0" applyFont="1" applyAlignment="1">
      <alignment horizontal="left"/>
    </xf>
    <xf numFmtId="0" fontId="51" fillId="0" borderId="10" xfId="0" applyFont="1" applyBorder="1" applyAlignment="1">
      <alignment/>
    </xf>
    <xf numFmtId="0" fontId="51" fillId="0" borderId="58" xfId="0" applyFont="1" applyBorder="1" applyAlignment="1">
      <alignment/>
    </xf>
    <xf numFmtId="169" fontId="51" fillId="0" borderId="0" xfId="0" applyNumberFormat="1" applyFont="1" applyAlignment="1">
      <alignment/>
    </xf>
    <xf numFmtId="169" fontId="51" fillId="0" borderId="59" xfId="0" applyNumberFormat="1" applyFont="1" applyBorder="1" applyAlignment="1">
      <alignment/>
    </xf>
    <xf numFmtId="0" fontId="51" fillId="0" borderId="0" xfId="0" applyFont="1" applyAlignment="1">
      <alignment horizontal="left"/>
    </xf>
    <xf numFmtId="0" fontId="51" fillId="0" borderId="0" xfId="0" applyFont="1" applyAlignment="1">
      <alignment horizontal="center"/>
    </xf>
    <xf numFmtId="4" fontId="51" fillId="0" borderId="0" xfId="0" applyNumberFormat="1" applyFont="1" applyAlignment="1">
      <alignment vertical="center"/>
    </xf>
    <xf numFmtId="0" fontId="47" fillId="0" borderId="0" xfId="0" applyFont="1" applyAlignment="1">
      <alignment horizontal="left"/>
    </xf>
    <xf numFmtId="0" fontId="38" fillId="0" borderId="51" xfId="0" applyFont="1" applyBorder="1" applyAlignment="1">
      <alignment horizontal="center" vertical="center"/>
    </xf>
    <xf numFmtId="49" fontId="38" fillId="0" borderId="51" xfId="0" applyNumberFormat="1" applyFont="1" applyBorder="1" applyAlignment="1">
      <alignment horizontal="left" vertical="center" wrapText="1"/>
    </xf>
    <xf numFmtId="0" fontId="38" fillId="0" borderId="51" xfId="0" applyFont="1" applyBorder="1" applyAlignment="1">
      <alignment horizontal="center" vertical="center" wrapText="1"/>
    </xf>
    <xf numFmtId="170" fontId="38" fillId="0" borderId="51" xfId="0" applyNumberFormat="1" applyFont="1" applyBorder="1" applyAlignment="1">
      <alignment vertical="center"/>
    </xf>
    <xf numFmtId="170" fontId="0" fillId="0" borderId="51" xfId="0" applyNumberFormat="1" applyBorder="1" applyAlignment="1">
      <alignment vertical="center"/>
    </xf>
    <xf numFmtId="4" fontId="47" fillId="0" borderId="56" xfId="0" applyNumberFormat="1" applyFont="1" applyBorder="1" applyAlignment="1">
      <alignment/>
    </xf>
    <xf numFmtId="4" fontId="47" fillId="0" borderId="56" xfId="0" applyNumberFormat="1" applyFont="1" applyBorder="1" applyAlignment="1">
      <alignment vertical="center"/>
    </xf>
    <xf numFmtId="0" fontId="38" fillId="0" borderId="20" xfId="0" applyFont="1" applyBorder="1" applyAlignment="1" applyProtection="1">
      <alignment vertical="center"/>
      <protection locked="0"/>
    </xf>
    <xf numFmtId="0" fontId="38" fillId="0" borderId="51" xfId="0" applyFont="1" applyBorder="1" applyAlignment="1" applyProtection="1">
      <alignment horizontal="center" vertical="center"/>
      <protection locked="0"/>
    </xf>
    <xf numFmtId="0" fontId="38" fillId="0" borderId="51" xfId="0" applyFont="1" applyBorder="1" applyAlignment="1" applyProtection="1">
      <alignment horizontal="center" vertical="center" wrapText="1"/>
      <protection locked="0"/>
    </xf>
    <xf numFmtId="170" fontId="38" fillId="0" borderId="51" xfId="0" applyNumberFormat="1" applyFont="1" applyBorder="1" applyAlignment="1" applyProtection="1">
      <alignment vertical="center"/>
      <protection locked="0"/>
    </xf>
    <xf numFmtId="0" fontId="38" fillId="0" borderId="10" xfId="0" applyFont="1" applyBorder="1" applyAlignment="1" applyProtection="1">
      <alignment vertical="center"/>
      <protection locked="0"/>
    </xf>
    <xf numFmtId="0" fontId="52" fillId="0" borderId="51" xfId="0" applyFont="1" applyBorder="1" applyAlignment="1">
      <alignment horizontal="left" vertical="center"/>
    </xf>
    <xf numFmtId="0" fontId="52" fillId="0" borderId="0" xfId="0" applyFont="1" applyAlignment="1">
      <alignment horizontal="center" vertical="center"/>
    </xf>
    <xf numFmtId="169" fontId="52" fillId="0" borderId="0" xfId="0" applyNumberFormat="1" applyFont="1" applyAlignment="1">
      <alignment vertical="center"/>
    </xf>
    <xf numFmtId="169" fontId="52" fillId="0" borderId="59" xfId="0" applyNumberFormat="1" applyFont="1" applyBorder="1" applyAlignment="1">
      <alignment vertical="center"/>
    </xf>
    <xf numFmtId="4" fontId="38" fillId="0" borderId="0" xfId="0" applyNumberFormat="1" applyFont="1" applyAlignment="1">
      <alignment vertical="center"/>
    </xf>
    <xf numFmtId="49" fontId="38" fillId="0" borderId="51" xfId="0" applyNumberFormat="1" applyFont="1" applyBorder="1" applyAlignment="1" applyProtection="1">
      <alignment horizontal="left" vertical="center" wrapText="1"/>
      <protection locked="0"/>
    </xf>
    <xf numFmtId="0" fontId="53" fillId="0" borderId="51" xfId="0" applyFont="1" applyBorder="1" applyAlignment="1" applyProtection="1">
      <alignment horizontal="center" vertical="center"/>
      <protection locked="0"/>
    </xf>
    <xf numFmtId="49" fontId="53" fillId="0" borderId="51" xfId="0" applyNumberFormat="1" applyFont="1" applyBorder="1" applyAlignment="1" applyProtection="1">
      <alignment horizontal="left" vertical="center" wrapText="1"/>
      <protection locked="0"/>
    </xf>
    <xf numFmtId="0" fontId="53" fillId="0" borderId="51" xfId="0" applyFont="1" applyBorder="1" applyAlignment="1" applyProtection="1">
      <alignment horizontal="center" vertical="center" wrapText="1"/>
      <protection locked="0"/>
    </xf>
    <xf numFmtId="170" fontId="53" fillId="0" borderId="51" xfId="0" applyNumberFormat="1" applyFont="1" applyBorder="1" applyAlignment="1" applyProtection="1">
      <alignment vertical="center"/>
      <protection locked="0"/>
    </xf>
    <xf numFmtId="170" fontId="0" fillId="0" borderId="51" xfId="0" applyNumberFormat="1" applyBorder="1" applyAlignment="1" applyProtection="1">
      <alignment vertical="center"/>
      <protection locked="0"/>
    </xf>
    <xf numFmtId="0" fontId="53" fillId="0" borderId="51" xfId="0" applyFont="1" applyBorder="1" applyAlignment="1">
      <alignment horizontal="center" vertical="center"/>
    </xf>
    <xf numFmtId="49" fontId="53" fillId="0" borderId="51" xfId="0" applyNumberFormat="1" applyFont="1" applyBorder="1" applyAlignment="1">
      <alignment horizontal="left" vertical="center" wrapText="1"/>
    </xf>
    <xf numFmtId="0" fontId="53" fillId="0" borderId="51" xfId="0" applyFont="1" applyBorder="1" applyAlignment="1">
      <alignment horizontal="center" vertical="center" wrapText="1"/>
    </xf>
    <xf numFmtId="170" fontId="53" fillId="0" borderId="51" xfId="0" applyNumberFormat="1" applyFont="1" applyBorder="1" applyAlignment="1">
      <alignment vertical="center"/>
    </xf>
    <xf numFmtId="0" fontId="52" fillId="0" borderId="58" xfId="0" applyFont="1" applyBorder="1" applyAlignment="1">
      <alignment horizontal="left" vertical="center"/>
    </xf>
    <xf numFmtId="0" fontId="0" fillId="0" borderId="51" xfId="0" applyBorder="1" applyAlignment="1">
      <alignment horizontal="center" vertical="center"/>
    </xf>
    <xf numFmtId="0" fontId="4" fillId="0" borderId="60" xfId="0" applyNumberFormat="1" applyFont="1" applyFill="1" applyBorder="1" applyAlignment="1" applyProtection="1">
      <alignment horizontal="right" vertical="center"/>
      <protection/>
    </xf>
    <xf numFmtId="4" fontId="1" fillId="0" borderId="14" xfId="0" applyNumberFormat="1" applyFont="1" applyFill="1" applyBorder="1" applyAlignment="1" applyProtection="1">
      <alignment horizontal="right" vertical="center"/>
      <protection/>
    </xf>
    <xf numFmtId="0" fontId="1" fillId="0" borderId="14" xfId="0" applyNumberFormat="1" applyFont="1" applyFill="1" applyBorder="1" applyAlignment="1" applyProtection="1">
      <alignment horizontal="left" vertical="center"/>
      <protection/>
    </xf>
    <xf numFmtId="4" fontId="1" fillId="0" borderId="10" xfId="0" applyNumberFormat="1" applyFont="1" applyFill="1" applyBorder="1" applyAlignment="1" applyProtection="1">
      <alignment horizontal="right" vertical="center"/>
      <protection/>
    </xf>
    <xf numFmtId="0" fontId="4" fillId="0" borderId="61" xfId="0" applyNumberFormat="1" applyFont="1" applyFill="1" applyBorder="1" applyAlignment="1" applyProtection="1">
      <alignment horizontal="left" vertical="center"/>
      <protection/>
    </xf>
    <xf numFmtId="0" fontId="4" fillId="0" borderId="61" xfId="0" applyNumberFormat="1" applyFont="1" applyFill="1" applyBorder="1" applyAlignment="1" applyProtection="1">
      <alignment horizontal="right" vertical="center"/>
      <protection/>
    </xf>
    <xf numFmtId="4" fontId="4" fillId="0" borderId="61"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center" vertical="center" wrapText="1"/>
      <protection/>
    </xf>
    <xf numFmtId="0" fontId="1" fillId="0" borderId="48" xfId="0" applyNumberFormat="1" applyFont="1" applyFill="1" applyBorder="1" applyAlignment="1" applyProtection="1">
      <alignment horizontal="left" vertical="center" wrapText="1"/>
      <protection/>
    </xf>
    <xf numFmtId="0" fontId="4" fillId="0" borderId="49" xfId="0" applyNumberFormat="1" applyFont="1" applyFill="1" applyBorder="1" applyAlignment="1" applyProtection="1">
      <alignment horizontal="left" vertical="center" wrapText="1"/>
      <protection/>
    </xf>
    <xf numFmtId="0" fontId="1" fillId="0" borderId="49" xfId="0" applyNumberFormat="1" applyFont="1" applyFill="1" applyBorder="1" applyAlignment="1" applyProtection="1">
      <alignment horizontal="left" vertical="center" wrapText="1"/>
      <protection/>
    </xf>
    <xf numFmtId="0" fontId="1" fillId="0" borderId="50" xfId="0" applyNumberFormat="1" applyFont="1" applyFill="1" applyBorder="1" applyAlignment="1" applyProtection="1">
      <alignment horizontal="left" vertical="center"/>
      <protection/>
    </xf>
    <xf numFmtId="0" fontId="1" fillId="0" borderId="2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1" fontId="1" fillId="0" borderId="10" xfId="0" applyNumberFormat="1" applyFont="1" applyFill="1" applyBorder="1" applyAlignment="1" applyProtection="1">
      <alignment horizontal="left" vertical="center"/>
      <protection/>
    </xf>
    <xf numFmtId="0" fontId="1" fillId="0" borderId="27" xfId="0" applyNumberFormat="1" applyFont="1" applyFill="1" applyBorder="1" applyAlignment="1" applyProtection="1">
      <alignment horizontal="left" vertical="center" wrapText="1"/>
      <protection/>
    </xf>
    <xf numFmtId="0" fontId="1" fillId="0" borderId="28" xfId="0" applyNumberFormat="1" applyFont="1" applyFill="1" applyBorder="1" applyAlignment="1" applyProtection="1">
      <alignment horizontal="left" vertical="center" wrapText="1"/>
      <protection/>
    </xf>
    <xf numFmtId="0" fontId="1" fillId="0" borderId="28"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left" vertical="center"/>
      <protection/>
    </xf>
    <xf numFmtId="0" fontId="9" fillId="0" borderId="14" xfId="0" applyNumberFormat="1" applyFont="1" applyFill="1" applyBorder="1" applyAlignment="1" applyProtection="1">
      <alignment horizontal="left" vertical="center"/>
      <protection/>
    </xf>
    <xf numFmtId="0" fontId="8" fillId="0" borderId="15" xfId="0" applyNumberFormat="1" applyFont="1" applyFill="1" applyBorder="1" applyAlignment="1" applyProtection="1">
      <alignment horizontal="left" vertical="center"/>
      <protection/>
    </xf>
    <xf numFmtId="0" fontId="8" fillId="0" borderId="13"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left" vertical="center"/>
      <protection/>
    </xf>
    <xf numFmtId="0" fontId="8" fillId="0" borderId="11" xfId="0" applyNumberFormat="1" applyFont="1" applyFill="1" applyBorder="1" applyAlignment="1" applyProtection="1">
      <alignment horizontal="left" vertical="center"/>
      <protection/>
    </xf>
    <xf numFmtId="0" fontId="8" fillId="0" borderId="12" xfId="0" applyNumberFormat="1" applyFont="1" applyFill="1" applyBorder="1" applyAlignment="1" applyProtection="1">
      <alignment horizontal="left" vertical="center"/>
      <protection/>
    </xf>
    <xf numFmtId="0" fontId="8" fillId="0" borderId="14" xfId="0" applyNumberFormat="1" applyFont="1" applyFill="1" applyBorder="1" applyAlignment="1" applyProtection="1">
      <alignment horizontal="left" vertical="center"/>
      <protection/>
    </xf>
    <xf numFmtId="0" fontId="8" fillId="33" borderId="62" xfId="0" applyNumberFormat="1" applyFont="1" applyFill="1" applyBorder="1" applyAlignment="1" applyProtection="1">
      <alignment horizontal="left" vertical="center"/>
      <protection/>
    </xf>
    <xf numFmtId="0" fontId="8" fillId="33" borderId="27" xfId="0" applyNumberFormat="1" applyFont="1" applyFill="1" applyBorder="1" applyAlignment="1" applyProtection="1">
      <alignment horizontal="left" vertical="center"/>
      <protection/>
    </xf>
    <xf numFmtId="0" fontId="8" fillId="33" borderId="63" xfId="0" applyNumberFormat="1" applyFont="1" applyFill="1" applyBorder="1" applyAlignment="1" applyProtection="1">
      <alignment horizontal="left" vertical="center"/>
      <protection/>
    </xf>
    <xf numFmtId="0" fontId="8" fillId="33" borderId="28" xfId="0" applyNumberFormat="1" applyFont="1" applyFill="1" applyBorder="1" applyAlignment="1" applyProtection="1">
      <alignment horizontal="left" vertical="center"/>
      <protection/>
    </xf>
    <xf numFmtId="0" fontId="9" fillId="0" borderId="64" xfId="0" applyNumberFormat="1" applyFont="1" applyFill="1" applyBorder="1" applyAlignment="1" applyProtection="1">
      <alignment horizontal="left" vertical="center"/>
      <protection/>
    </xf>
    <xf numFmtId="0" fontId="9" fillId="0" borderId="65" xfId="0" applyNumberFormat="1" applyFont="1" applyFill="1" applyBorder="1" applyAlignment="1" applyProtection="1">
      <alignment horizontal="left" vertical="center"/>
      <protection/>
    </xf>
    <xf numFmtId="0" fontId="9" fillId="0" borderId="66" xfId="0" applyNumberFormat="1" applyFont="1" applyFill="1" applyBorder="1" applyAlignment="1" applyProtection="1">
      <alignment horizontal="left" vertical="center"/>
      <protection/>
    </xf>
    <xf numFmtId="0" fontId="9" fillId="0" borderId="67" xfId="0" applyNumberFormat="1" applyFont="1" applyFill="1" applyBorder="1" applyAlignment="1" applyProtection="1">
      <alignment horizontal="left" vertical="center"/>
      <protection/>
    </xf>
    <xf numFmtId="0" fontId="9" fillId="0" borderId="68" xfId="0" applyNumberFormat="1" applyFont="1" applyFill="1" applyBorder="1" applyAlignment="1" applyProtection="1">
      <alignment horizontal="left" vertical="center"/>
      <protection/>
    </xf>
    <xf numFmtId="0" fontId="9" fillId="0" borderId="26"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xf numFmtId="0" fontId="1" fillId="0" borderId="49" xfId="0" applyNumberFormat="1" applyFont="1" applyFill="1" applyBorder="1" applyAlignment="1" applyProtection="1">
      <alignment horizontal="left" vertical="center"/>
      <protection/>
    </xf>
    <xf numFmtId="0" fontId="1" fillId="0" borderId="5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left" vertical="center" wrapText="1"/>
      <protection/>
    </xf>
    <xf numFmtId="0" fontId="4" fillId="0" borderId="69" xfId="0" applyNumberFormat="1" applyFont="1" applyFill="1" applyBorder="1" applyAlignment="1" applyProtection="1">
      <alignment horizontal="left" vertical="center"/>
      <protection/>
    </xf>
    <xf numFmtId="0" fontId="1" fillId="0" borderId="20" xfId="0" applyNumberFormat="1" applyFont="1" applyFill="1" applyBorder="1" applyAlignment="1" applyProtection="1">
      <alignment horizontal="left" vertical="center"/>
      <protection/>
    </xf>
    <xf numFmtId="0" fontId="11" fillId="0" borderId="2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protection/>
    </xf>
    <xf numFmtId="0" fontId="4" fillId="0" borderId="7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left" vertical="center"/>
      <protection/>
    </xf>
    <xf numFmtId="0" fontId="4" fillId="33" borderId="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wrapText="1"/>
      <protection/>
    </xf>
    <xf numFmtId="0" fontId="13" fillId="33" borderId="0"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protection/>
    </xf>
    <xf numFmtId="49" fontId="16" fillId="34" borderId="0" xfId="0" applyNumberFormat="1" applyFont="1" applyFill="1" applyBorder="1" applyAlignment="1">
      <alignment horizontal="center" vertical="center"/>
    </xf>
    <xf numFmtId="49" fontId="17" fillId="34" borderId="0" xfId="0" applyNumberFormat="1" applyFont="1" applyFill="1" applyBorder="1" applyAlignment="1">
      <alignment horizontal="center"/>
    </xf>
    <xf numFmtId="0" fontId="24" fillId="35" borderId="0" xfId="0" applyFont="1" applyFill="1" applyBorder="1" applyAlignment="1">
      <alignment horizontal="center" vertical="center" wrapText="1"/>
    </xf>
    <xf numFmtId="0" fontId="25" fillId="35" borderId="0" xfId="0" applyFont="1" applyFill="1" applyBorder="1" applyAlignment="1">
      <alignment horizontal="center" vertical="top"/>
    </xf>
    <xf numFmtId="0" fontId="25" fillId="35" borderId="0" xfId="0" applyFont="1" applyFill="1" applyBorder="1" applyAlignment="1">
      <alignment vertical="top" wrapText="1"/>
    </xf>
    <xf numFmtId="0" fontId="26" fillId="35" borderId="0" xfId="0" applyFont="1" applyFill="1" applyBorder="1" applyAlignment="1">
      <alignment vertical="top" wrapText="1"/>
    </xf>
    <xf numFmtId="49" fontId="26" fillId="35" borderId="0" xfId="0" applyNumberFormat="1" applyFont="1" applyFill="1" applyBorder="1" applyAlignment="1">
      <alignment vertical="top"/>
    </xf>
    <xf numFmtId="0" fontId="27" fillId="35" borderId="39" xfId="0" applyFont="1" applyFill="1" applyBorder="1" applyAlignment="1">
      <alignment horizontal="center" vertical="center"/>
    </xf>
    <xf numFmtId="49" fontId="0" fillId="35" borderId="39" xfId="0" applyNumberFormat="1" applyFill="1" applyBorder="1" applyAlignment="1">
      <alignment vertical="top"/>
    </xf>
    <xf numFmtId="0" fontId="28" fillId="35" borderId="30" xfId="0" applyFont="1" applyFill="1" applyBorder="1" applyAlignment="1">
      <alignment horizontal="center" vertical="center"/>
    </xf>
    <xf numFmtId="0" fontId="29" fillId="35" borderId="30" xfId="0" applyFont="1" applyFill="1" applyBorder="1" applyAlignment="1">
      <alignment horizontal="center" vertical="center"/>
    </xf>
    <xf numFmtId="0" fontId="29" fillId="35" borderId="30" xfId="0" applyFont="1" applyFill="1" applyBorder="1" applyAlignment="1">
      <alignment horizontal="center" vertical="center" wrapText="1"/>
    </xf>
    <xf numFmtId="0" fontId="29" fillId="35" borderId="71" xfId="0" applyFont="1" applyFill="1" applyBorder="1" applyAlignment="1">
      <alignment horizontal="center" vertical="center" wrapText="1"/>
    </xf>
    <xf numFmtId="49" fontId="23" fillId="35" borderId="72" xfId="0" applyNumberFormat="1" applyFont="1" applyFill="1" applyBorder="1" applyAlignment="1">
      <alignment horizontal="center" vertical="center"/>
    </xf>
    <xf numFmtId="0" fontId="23" fillId="35" borderId="72" xfId="0" applyFont="1" applyFill="1" applyBorder="1" applyAlignment="1">
      <alignment horizontal="left" vertical="center" wrapText="1" indent="2"/>
    </xf>
    <xf numFmtId="0" fontId="23" fillId="35" borderId="73" xfId="0" applyFont="1" applyFill="1" applyBorder="1" applyAlignment="1">
      <alignment horizontal="right" vertical="center"/>
    </xf>
    <xf numFmtId="166" fontId="23" fillId="0" borderId="72" xfId="0" applyNumberFormat="1" applyFont="1" applyBorder="1" applyAlignment="1">
      <alignment horizontal="center" vertical="center"/>
    </xf>
    <xf numFmtId="166" fontId="28" fillId="0" borderId="74" xfId="0" applyNumberFormat="1" applyFont="1" applyBorder="1" applyAlignment="1">
      <alignment horizontal="center" vertical="center"/>
    </xf>
    <xf numFmtId="49" fontId="23" fillId="35" borderId="75" xfId="0" applyNumberFormat="1" applyFont="1" applyFill="1" applyBorder="1" applyAlignment="1">
      <alignment horizontal="center" vertical="center"/>
    </xf>
    <xf numFmtId="0" fontId="23" fillId="35" borderId="75" xfId="0" applyFont="1" applyFill="1" applyBorder="1" applyAlignment="1">
      <alignment horizontal="left" vertical="center" wrapText="1" indent="2"/>
    </xf>
    <xf numFmtId="0" fontId="23" fillId="35" borderId="76" xfId="0" applyFont="1" applyFill="1" applyBorder="1" applyAlignment="1">
      <alignment horizontal="right" vertical="center"/>
    </xf>
    <xf numFmtId="166" fontId="23" fillId="0" borderId="75" xfId="0" applyNumberFormat="1" applyFont="1" applyBorder="1" applyAlignment="1">
      <alignment horizontal="center" vertical="center"/>
    </xf>
    <xf numFmtId="166" fontId="28" fillId="0" borderId="77" xfId="0" applyNumberFormat="1" applyFont="1" applyBorder="1" applyAlignment="1">
      <alignment horizontal="center" vertical="center"/>
    </xf>
    <xf numFmtId="0" fontId="23" fillId="0" borderId="75" xfId="0" applyFont="1" applyBorder="1" applyAlignment="1">
      <alignment horizontal="left" vertical="center" wrapText="1" indent="2"/>
    </xf>
    <xf numFmtId="0" fontId="23" fillId="35" borderId="78" xfId="0" applyFont="1" applyFill="1" applyBorder="1" applyAlignment="1">
      <alignment horizontal="left" vertical="center" wrapText="1" indent="2"/>
    </xf>
    <xf numFmtId="49" fontId="23" fillId="35" borderId="79" xfId="0" applyNumberFormat="1" applyFont="1" applyFill="1" applyBorder="1" applyAlignment="1">
      <alignment horizontal="center" vertical="center"/>
    </xf>
    <xf numFmtId="0" fontId="23" fillId="35" borderId="79" xfId="0" applyFont="1" applyFill="1" applyBorder="1" applyAlignment="1">
      <alignment horizontal="left" vertical="center" wrapText="1" indent="2"/>
    </xf>
    <xf numFmtId="0" fontId="23" fillId="35" borderId="80" xfId="0" applyFont="1" applyFill="1" applyBorder="1" applyAlignment="1">
      <alignment horizontal="right" vertical="center"/>
    </xf>
    <xf numFmtId="166" fontId="23" fillId="0" borderId="79" xfId="0" applyNumberFormat="1" applyFont="1" applyBorder="1" applyAlignment="1">
      <alignment horizontal="center" vertical="center"/>
    </xf>
    <xf numFmtId="166" fontId="28" fillId="0" borderId="81" xfId="0" applyNumberFormat="1" applyFont="1" applyBorder="1" applyAlignment="1">
      <alignment horizontal="center" vertical="center"/>
    </xf>
    <xf numFmtId="0" fontId="28" fillId="35" borderId="30" xfId="0" applyFont="1" applyFill="1" applyBorder="1" applyAlignment="1">
      <alignment horizontal="right" vertical="center" indent="2"/>
    </xf>
    <xf numFmtId="166" fontId="25" fillId="35" borderId="30" xfId="0" applyNumberFormat="1" applyFont="1" applyFill="1" applyBorder="1" applyAlignment="1">
      <alignment horizontal="center" vertical="center"/>
    </xf>
    <xf numFmtId="0" fontId="28" fillId="35" borderId="82" xfId="0" applyFont="1" applyFill="1" applyBorder="1" applyAlignment="1">
      <alignment horizontal="center" vertical="center"/>
    </xf>
    <xf numFmtId="0" fontId="23" fillId="35" borderId="83" xfId="0" applyFont="1" applyFill="1" applyBorder="1" applyAlignment="1">
      <alignment horizontal="center" vertical="center"/>
    </xf>
    <xf numFmtId="0" fontId="23" fillId="35" borderId="72" xfId="0" applyFont="1" applyFill="1" applyBorder="1" applyAlignment="1">
      <alignment horizontal="center" vertical="center"/>
    </xf>
    <xf numFmtId="0" fontId="28" fillId="0" borderId="72" xfId="0" applyFont="1" applyBorder="1" applyAlignment="1">
      <alignment horizontal="left" vertical="center" wrapText="1" indent="2"/>
    </xf>
    <xf numFmtId="167" fontId="23" fillId="0" borderId="84" xfId="0" applyNumberFormat="1" applyFont="1" applyBorder="1" applyAlignment="1">
      <alignment horizontal="center" vertical="center"/>
    </xf>
    <xf numFmtId="167" fontId="28" fillId="35" borderId="85" xfId="0" applyNumberFormat="1" applyFont="1" applyFill="1" applyBorder="1" applyAlignment="1">
      <alignment horizontal="center" vertical="center"/>
    </xf>
    <xf numFmtId="0" fontId="28" fillId="35" borderId="75" xfId="0" applyFont="1" applyFill="1" applyBorder="1" applyAlignment="1">
      <alignment horizontal="left" vertical="center" wrapText="1" indent="2"/>
    </xf>
    <xf numFmtId="0" fontId="28" fillId="35" borderId="79" xfId="0" applyFont="1" applyFill="1" applyBorder="1" applyAlignment="1">
      <alignment horizontal="left" vertical="center" wrapText="1" indent="2"/>
    </xf>
    <xf numFmtId="167" fontId="25" fillId="35" borderId="30" xfId="0" applyNumberFormat="1" applyFont="1" applyFill="1" applyBorder="1" applyAlignment="1">
      <alignment horizontal="center" vertical="center"/>
    </xf>
    <xf numFmtId="0" fontId="29" fillId="35" borderId="40" xfId="0" applyFont="1" applyFill="1" applyBorder="1" applyAlignment="1">
      <alignment horizontal="center" vertical="center"/>
    </xf>
    <xf numFmtId="0" fontId="29" fillId="35" borderId="40" xfId="0" applyFont="1" applyFill="1" applyBorder="1" applyAlignment="1">
      <alignment horizontal="center" vertical="center" wrapText="1"/>
    </xf>
    <xf numFmtId="49" fontId="23" fillId="35" borderId="86" xfId="0" applyNumberFormat="1" applyFont="1" applyFill="1" applyBorder="1" applyAlignment="1">
      <alignment horizontal="center" vertical="center"/>
    </xf>
    <xf numFmtId="0" fontId="28" fillId="35" borderId="32" xfId="0" applyFont="1" applyFill="1" applyBorder="1" applyAlignment="1">
      <alignment horizontal="left" vertical="center" wrapText="1" indent="2"/>
    </xf>
    <xf numFmtId="167" fontId="23" fillId="35" borderId="72" xfId="0" applyNumberFormat="1" applyFont="1" applyFill="1" applyBorder="1" applyAlignment="1">
      <alignment horizontal="center" vertical="center"/>
    </xf>
    <xf numFmtId="167" fontId="28" fillId="0" borderId="74" xfId="0" applyNumberFormat="1" applyFont="1" applyBorder="1" applyAlignment="1">
      <alignment horizontal="center" vertical="center"/>
    </xf>
    <xf numFmtId="0" fontId="23" fillId="35" borderId="87" xfId="0" applyFont="1" applyFill="1" applyBorder="1" applyAlignment="1">
      <alignment horizontal="center" vertical="center"/>
    </xf>
    <xf numFmtId="0" fontId="23" fillId="0" borderId="76" xfId="0" applyFont="1" applyBorder="1" applyAlignment="1">
      <alignment horizontal="right" vertical="center"/>
    </xf>
    <xf numFmtId="167" fontId="23" fillId="35" borderId="75" xfId="0" applyNumberFormat="1" applyFont="1" applyFill="1" applyBorder="1" applyAlignment="1">
      <alignment horizontal="center" vertical="center"/>
    </xf>
    <xf numFmtId="167" fontId="28" fillId="35" borderId="77" xfId="0" applyNumberFormat="1" applyFont="1" applyFill="1" applyBorder="1" applyAlignment="1">
      <alignment horizontal="center" vertical="center"/>
    </xf>
    <xf numFmtId="49" fontId="23" fillId="35" borderId="87" xfId="0" applyNumberFormat="1" applyFont="1" applyFill="1" applyBorder="1" applyAlignment="1">
      <alignment horizontal="center" vertical="center"/>
    </xf>
    <xf numFmtId="0" fontId="28" fillId="35" borderId="34" xfId="0" applyFont="1" applyFill="1" applyBorder="1" applyAlignment="1">
      <alignment horizontal="left" vertical="center" wrapText="1" indent="2"/>
    </xf>
    <xf numFmtId="167" fontId="23" fillId="0" borderId="75" xfId="0" applyNumberFormat="1" applyFont="1" applyBorder="1" applyAlignment="1">
      <alignment horizontal="center" vertical="center"/>
    </xf>
    <xf numFmtId="0" fontId="28" fillId="35" borderId="88" xfId="0" applyFont="1" applyFill="1" applyBorder="1" applyAlignment="1">
      <alignment horizontal="left" vertical="center" wrapText="1" indent="2"/>
    </xf>
    <xf numFmtId="0" fontId="28" fillId="35" borderId="89" xfId="0" applyFont="1" applyFill="1" applyBorder="1" applyAlignment="1">
      <alignment horizontal="left" vertical="center" wrapText="1" indent="2"/>
    </xf>
    <xf numFmtId="0" fontId="28" fillId="35" borderId="90" xfId="0" applyFont="1" applyFill="1" applyBorder="1" applyAlignment="1">
      <alignment horizontal="left" vertical="center" wrapText="1" indent="2"/>
    </xf>
    <xf numFmtId="0" fontId="28" fillId="35" borderId="34" xfId="0" applyFont="1" applyFill="1" applyBorder="1" applyAlignment="1">
      <alignment horizontal="left" vertical="center" wrapText="1"/>
    </xf>
    <xf numFmtId="0" fontId="28" fillId="0" borderId="90" xfId="0" applyFont="1" applyBorder="1" applyAlignment="1">
      <alignment horizontal="left" vertical="center" wrapText="1" indent="2"/>
    </xf>
    <xf numFmtId="0" fontId="33" fillId="35" borderId="91" xfId="0" applyFont="1" applyFill="1" applyBorder="1" applyAlignment="1">
      <alignment horizontal="left" vertical="center" wrapText="1" indent="2"/>
    </xf>
    <xf numFmtId="0" fontId="33" fillId="0" borderId="91" xfId="0" applyFont="1" applyBorder="1" applyAlignment="1">
      <alignment horizontal="left" vertical="center" wrapText="1" indent="2"/>
    </xf>
    <xf numFmtId="167" fontId="25" fillId="35" borderId="92" xfId="0" applyNumberFormat="1" applyFont="1" applyFill="1" applyBorder="1" applyAlignment="1">
      <alignment horizontal="center" vertical="center"/>
    </xf>
    <xf numFmtId="49" fontId="35" fillId="35" borderId="86" xfId="0" applyNumberFormat="1" applyFont="1" applyFill="1" applyBorder="1" applyAlignment="1">
      <alignment horizontal="center" vertical="center"/>
    </xf>
    <xf numFmtId="167" fontId="23" fillId="0" borderId="72" xfId="0" applyNumberFormat="1" applyFont="1" applyBorder="1" applyAlignment="1">
      <alignment horizontal="center" vertical="center"/>
    </xf>
    <xf numFmtId="49" fontId="35" fillId="35" borderId="87" xfId="0" applyNumberFormat="1" applyFont="1" applyFill="1" applyBorder="1" applyAlignment="1">
      <alignment horizontal="center" vertical="center"/>
    </xf>
    <xf numFmtId="0" fontId="23" fillId="0" borderId="89" xfId="0" applyFont="1" applyBorder="1" applyAlignment="1">
      <alignment horizontal="left" vertical="center" wrapText="1" indent="2"/>
    </xf>
    <xf numFmtId="167" fontId="28" fillId="0" borderId="77" xfId="0" applyNumberFormat="1" applyFont="1" applyBorder="1" applyAlignment="1">
      <alignment horizontal="center" vertical="center"/>
    </xf>
    <xf numFmtId="0" fontId="35" fillId="0" borderId="75" xfId="0" applyFont="1" applyBorder="1" applyAlignment="1">
      <alignment horizontal="left" vertical="center" wrapText="1" indent="2"/>
    </xf>
    <xf numFmtId="0" fontId="23" fillId="35" borderId="89" xfId="0" applyFont="1" applyFill="1" applyBorder="1" applyAlignment="1">
      <alignment horizontal="left" vertical="center" wrapText="1" indent="2"/>
    </xf>
    <xf numFmtId="167" fontId="25" fillId="0" borderId="92" xfId="0" applyNumberFormat="1" applyFont="1" applyBorder="1" applyAlignment="1">
      <alignment horizontal="center" vertical="center"/>
    </xf>
    <xf numFmtId="0" fontId="28" fillId="0" borderId="30" xfId="0" applyFont="1" applyBorder="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lignment horizontal="center" vertical="center" wrapText="1"/>
    </xf>
    <xf numFmtId="0" fontId="29" fillId="0" borderId="30" xfId="0" applyFont="1" applyBorder="1" applyAlignment="1">
      <alignment horizontal="center" vertical="center" wrapText="1"/>
    </xf>
    <xf numFmtId="0" fontId="23" fillId="35" borderId="37" xfId="0" applyFont="1" applyFill="1" applyBorder="1" applyAlignment="1">
      <alignment horizontal="left" vertical="center"/>
    </xf>
    <xf numFmtId="166" fontId="23" fillId="0" borderId="37" xfId="0" applyNumberFormat="1" applyFont="1" applyBorder="1" applyAlignment="1">
      <alignment horizontal="center" vertical="center"/>
    </xf>
    <xf numFmtId="0" fontId="23" fillId="35" borderId="0" xfId="0" applyFont="1" applyFill="1" applyBorder="1" applyAlignment="1">
      <alignment horizontal="left" vertical="center"/>
    </xf>
    <xf numFmtId="166" fontId="23" fillId="0" borderId="0" xfId="0" applyNumberFormat="1" applyFont="1" applyBorder="1" applyAlignment="1">
      <alignment horizontal="center" vertical="center"/>
    </xf>
    <xf numFmtId="0" fontId="23" fillId="35" borderId="24" xfId="0" applyFont="1" applyFill="1" applyBorder="1" applyAlignment="1">
      <alignment horizontal="left" vertical="center"/>
    </xf>
    <xf numFmtId="166" fontId="23" fillId="0" borderId="24" xfId="0" applyNumberFormat="1" applyFont="1" applyBorder="1" applyAlignment="1">
      <alignment horizontal="center" vertical="center"/>
    </xf>
    <xf numFmtId="0" fontId="27" fillId="35" borderId="93" xfId="0" applyFont="1" applyFill="1" applyBorder="1" applyAlignment="1">
      <alignment horizontal="center" vertical="center"/>
    </xf>
    <xf numFmtId="166" fontId="27" fillId="0" borderId="93" xfId="0" applyNumberFormat="1" applyFont="1" applyBorder="1" applyAlignment="1">
      <alignment horizontal="center" vertical="center"/>
    </xf>
    <xf numFmtId="0" fontId="28" fillId="36" borderId="30" xfId="0" applyFont="1" applyFill="1" applyBorder="1" applyAlignment="1">
      <alignment horizontal="center" vertical="center"/>
    </xf>
    <xf numFmtId="49" fontId="36" fillId="36" borderId="37" xfId="0" applyNumberFormat="1" applyFont="1" applyFill="1" applyBorder="1" applyAlignment="1">
      <alignment horizontal="left" vertical="center" wrapText="1"/>
    </xf>
    <xf numFmtId="0" fontId="39" fillId="0" borderId="0" xfId="0" applyFont="1" applyBorder="1" applyAlignment="1">
      <alignment horizontal="center" vertical="center"/>
    </xf>
    <xf numFmtId="0" fontId="39" fillId="33" borderId="0" xfId="0" applyFont="1" applyFill="1" applyBorder="1" applyAlignment="1">
      <alignment horizontal="center" vertical="center"/>
    </xf>
    <xf numFmtId="0" fontId="40" fillId="0" borderId="0" xfId="0" applyFont="1" applyBorder="1" applyAlignment="1">
      <alignment horizontal="center" vertical="center"/>
    </xf>
    <xf numFmtId="0" fontId="42" fillId="0" borderId="0" xfId="0" applyNumberFormat="1" applyFont="1" applyBorder="1" applyAlignment="1">
      <alignment horizontal="left" vertical="center" wrapText="1"/>
    </xf>
    <xf numFmtId="168" fontId="44" fillId="0" borderId="0" xfId="0" applyNumberFormat="1" applyFont="1" applyBorder="1" applyAlignment="1">
      <alignment horizontal="left" vertical="center"/>
    </xf>
    <xf numFmtId="0" fontId="44" fillId="0" borderId="0" xfId="0" applyFont="1" applyBorder="1" applyAlignment="1">
      <alignment horizontal="left" vertical="center"/>
    </xf>
    <xf numFmtId="0" fontId="44" fillId="33" borderId="0" xfId="0" applyFont="1" applyFill="1" applyBorder="1" applyAlignment="1">
      <alignment horizontal="center" vertical="center"/>
    </xf>
    <xf numFmtId="4" fontId="45" fillId="0" borderId="0" xfId="0" applyNumberFormat="1" applyFont="1" applyBorder="1" applyAlignment="1">
      <alignment vertical="center"/>
    </xf>
    <xf numFmtId="4" fontId="46" fillId="0" borderId="0" xfId="0" applyNumberFormat="1" applyFont="1" applyBorder="1" applyAlignment="1">
      <alignment vertical="center"/>
    </xf>
    <xf numFmtId="4" fontId="47" fillId="0" borderId="0" xfId="0" applyNumberFormat="1" applyFont="1" applyBorder="1" applyAlignment="1">
      <alignment vertical="center"/>
    </xf>
    <xf numFmtId="4" fontId="45" fillId="33" borderId="0" xfId="0" applyNumberFormat="1" applyFont="1" applyFill="1" applyBorder="1" applyAlignment="1">
      <alignment vertical="center"/>
    </xf>
    <xf numFmtId="0" fontId="44" fillId="33" borderId="53" xfId="0" applyFont="1" applyFill="1" applyBorder="1" applyAlignment="1">
      <alignment horizontal="center" vertical="center" wrapText="1"/>
    </xf>
    <xf numFmtId="0" fontId="48" fillId="33" borderId="53" xfId="0" applyFont="1" applyFill="1" applyBorder="1" applyAlignment="1">
      <alignment horizontal="center" vertical="center" wrapText="1"/>
    </xf>
    <xf numFmtId="0" fontId="44" fillId="33" borderId="54" xfId="0" applyFont="1" applyFill="1" applyBorder="1" applyAlignment="1">
      <alignment horizontal="center" vertical="center" wrapText="1"/>
    </xf>
    <xf numFmtId="4" fontId="45" fillId="0" borderId="56" xfId="0" applyNumberFormat="1" applyFont="1" applyBorder="1" applyAlignment="1">
      <alignment/>
    </xf>
    <xf numFmtId="4" fontId="46" fillId="0" borderId="0" xfId="0" applyNumberFormat="1" applyFont="1" applyBorder="1" applyAlignment="1">
      <alignment/>
    </xf>
    <xf numFmtId="4" fontId="47" fillId="0" borderId="94" xfId="0" applyNumberFormat="1" applyFont="1" applyBorder="1" applyAlignment="1">
      <alignment/>
    </xf>
    <xf numFmtId="0" fontId="38" fillId="0" borderId="51" xfId="0" applyFont="1" applyBorder="1" applyAlignment="1">
      <alignment horizontal="left" vertical="center" wrapText="1"/>
    </xf>
    <xf numFmtId="4" fontId="38" fillId="0" borderId="51" xfId="0" applyNumberFormat="1" applyFont="1" applyBorder="1" applyAlignment="1">
      <alignment vertical="center"/>
    </xf>
    <xf numFmtId="0" fontId="38" fillId="0" borderId="51" xfId="0" applyFont="1" applyBorder="1" applyAlignment="1" applyProtection="1">
      <alignment horizontal="left" vertical="center" wrapText="1"/>
      <protection locked="0"/>
    </xf>
    <xf numFmtId="4" fontId="38" fillId="0" borderId="51" xfId="0" applyNumberFormat="1" applyFont="1" applyBorder="1" applyAlignment="1" applyProtection="1">
      <alignment vertical="center"/>
      <protection locked="0"/>
    </xf>
    <xf numFmtId="4" fontId="47" fillId="0" borderId="53" xfId="0" applyNumberFormat="1" applyFont="1" applyBorder="1" applyAlignment="1">
      <alignment/>
    </xf>
    <xf numFmtId="0" fontId="53" fillId="0" borderId="51" xfId="0" applyFont="1" applyBorder="1" applyAlignment="1" applyProtection="1">
      <alignment horizontal="left" vertical="center" wrapText="1"/>
      <protection locked="0"/>
    </xf>
    <xf numFmtId="4" fontId="53" fillId="0" borderId="51" xfId="0" applyNumberFormat="1" applyFont="1" applyBorder="1" applyAlignment="1" applyProtection="1">
      <alignment vertical="center"/>
      <protection locked="0"/>
    </xf>
    <xf numFmtId="0" fontId="53" fillId="0" borderId="51" xfId="0" applyFont="1" applyBorder="1" applyAlignment="1">
      <alignment horizontal="left" vertical="center" wrapText="1"/>
    </xf>
    <xf numFmtId="4" fontId="53" fillId="0" borderId="51" xfId="0" applyNumberFormat="1" applyFont="1" applyBorder="1" applyAlignment="1">
      <alignment vertical="center"/>
    </xf>
    <xf numFmtId="4" fontId="46" fillId="0" borderId="56" xfId="0" applyNumberFormat="1" applyFont="1" applyBorder="1" applyAlignment="1">
      <alignment/>
    </xf>
    <xf numFmtId="0" fontId="8" fillId="0" borderId="0" xfId="0" applyNumberFormat="1" applyFont="1" applyFill="1" applyBorder="1" applyAlignment="1" applyProtection="1">
      <alignment horizontal="left" vertical="center"/>
      <protection/>
    </xf>
    <xf numFmtId="0" fontId="4" fillId="0" borderId="70" xfId="0" applyNumberFormat="1" applyFont="1" applyFill="1" applyBorder="1" applyAlignment="1" applyProtection="1">
      <alignment horizontal="left" vertical="center"/>
      <protection/>
    </xf>
    <xf numFmtId="0" fontId="1" fillId="0" borderId="15"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0" fontId="4" fillId="0" borderId="93" xfId="0" applyNumberFormat="1" applyFont="1" applyFill="1" applyBorder="1" applyAlignment="1" applyProtection="1">
      <alignment horizontal="left" vertical="center"/>
      <protection/>
    </xf>
    <xf numFmtId="0" fontId="8" fillId="0" borderId="93" xfId="0" applyNumberFormat="1" applyFont="1" applyFill="1" applyBorder="1" applyAlignment="1" applyProtection="1">
      <alignment horizontal="left" vertical="center"/>
      <protection/>
    </xf>
    <xf numFmtId="4" fontId="8" fillId="0" borderId="61" xfId="0" applyNumberFormat="1" applyFont="1" applyFill="1" applyBorder="1" applyAlignment="1" applyProtection="1">
      <alignment horizontal="right" vertical="center"/>
      <protection/>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7F7F7F"/>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8"/>
        <xdr:cNvPicPr preferRelativeResize="1">
          <a:picLocks noChangeAspect="1"/>
        </xdr:cNvPicPr>
      </xdr:nvPicPr>
      <xdr:blipFill>
        <a:blip r:embed="rId1"/>
        <a:stretch>
          <a:fillRect/>
        </a:stretch>
      </xdr:blipFill>
      <xdr:spPr>
        <a:xfrm>
          <a:off x="0" y="0"/>
          <a:ext cx="666750" cy="6667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tabSelected="1" showOutlineSymbols="0" zoomScale="90" zoomScaleNormal="90" zoomScalePageLayoutView="0" workbookViewId="0" topLeftCell="A1">
      <selection activeCell="I10" sqref="I10:I11"/>
    </sheetView>
  </sheetViews>
  <sheetFormatPr defaultColWidth="14.16015625" defaultRowHeight="15" customHeight="1"/>
  <cols>
    <col min="1" max="1" width="10.66015625" style="1" customWidth="1"/>
    <col min="2" max="2" width="15" style="1" customWidth="1"/>
    <col min="3" max="3" width="31.66015625" style="1" customWidth="1"/>
    <col min="4" max="4" width="11.66015625" style="1" customWidth="1"/>
    <col min="5" max="5" width="16.33203125" style="1" customWidth="1"/>
    <col min="6" max="6" width="31.66015625" style="1" customWidth="1"/>
    <col min="7" max="7" width="10.66015625" style="1" customWidth="1"/>
    <col min="8" max="8" width="15" style="1" customWidth="1"/>
    <col min="9" max="9" width="31.66015625" style="1" customWidth="1"/>
  </cols>
  <sheetData>
    <row r="1" spans="1:9" ht="34.5" customHeight="1">
      <c r="A1" s="223" t="s">
        <v>0</v>
      </c>
      <c r="B1" s="223"/>
      <c r="C1" s="223"/>
      <c r="D1" s="223"/>
      <c r="E1" s="223"/>
      <c r="F1" s="223"/>
      <c r="G1" s="223"/>
      <c r="H1" s="223"/>
      <c r="I1" s="223"/>
    </row>
    <row r="2" spans="1:9" ht="15" customHeight="1">
      <c r="A2" s="224" t="s">
        <v>1</v>
      </c>
      <c r="B2" s="224"/>
      <c r="C2" s="225" t="str">
        <f>'Stavební rozpočet'!C2</f>
        <v>MĚSTSKÁ KNIHOVNA</v>
      </c>
      <c r="D2" s="225"/>
      <c r="E2" s="226" t="s">
        <v>2</v>
      </c>
      <c r="F2" s="226" t="str">
        <f>'Stavební rozpočet'!I2</f>
        <v>MĚSTO RUMBURK</v>
      </c>
      <c r="G2" s="226"/>
      <c r="H2" s="226" t="s">
        <v>3</v>
      </c>
      <c r="I2" s="227"/>
    </row>
    <row r="3" spans="1:9" ht="15" customHeight="1">
      <c r="A3" s="224"/>
      <c r="B3" s="224"/>
      <c r="C3" s="225"/>
      <c r="D3" s="225"/>
      <c r="E3" s="226"/>
      <c r="F3" s="226"/>
      <c r="G3" s="226"/>
      <c r="H3" s="226"/>
      <c r="I3" s="227"/>
    </row>
    <row r="4" spans="1:9" ht="15" customHeight="1">
      <c r="A4" s="228" t="s">
        <v>4</v>
      </c>
      <c r="B4" s="228"/>
      <c r="C4" s="229" t="str">
        <f>'Stavební rozpočet'!C4</f>
        <v>ZMĚNA SYSTÉMU VYTÁPĚNÍ</v>
      </c>
      <c r="D4" s="229"/>
      <c r="E4" s="229" t="s">
        <v>5</v>
      </c>
      <c r="F4" s="229" t="str">
        <f>'Stavební rozpočet'!I4</f>
        <v>Ing. Jiří Drahota</v>
      </c>
      <c r="G4" s="229"/>
      <c r="H4" s="229" t="s">
        <v>3</v>
      </c>
      <c r="I4" s="230"/>
    </row>
    <row r="5" spans="1:9" ht="15" customHeight="1">
      <c r="A5" s="228"/>
      <c r="B5" s="228"/>
      <c r="C5" s="229"/>
      <c r="D5" s="229"/>
      <c r="E5" s="229"/>
      <c r="F5" s="229"/>
      <c r="G5" s="229"/>
      <c r="H5" s="229"/>
      <c r="I5" s="230"/>
    </row>
    <row r="6" spans="1:9" ht="15" customHeight="1">
      <c r="A6" s="228" t="s">
        <v>6</v>
      </c>
      <c r="B6" s="228"/>
      <c r="C6" s="229" t="str">
        <f>'Stavební rozpočet'!C6</f>
        <v>RUMBURK,TŘÍDA 9.KVĚTNA 150/29</v>
      </c>
      <c r="D6" s="229"/>
      <c r="E6" s="229" t="s">
        <v>7</v>
      </c>
      <c r="F6" s="229" t="str">
        <f>'Stavební rozpočet'!I6</f>
        <v>BUEDE VYBRÁN</v>
      </c>
      <c r="G6" s="229"/>
      <c r="H6" s="229" t="s">
        <v>3</v>
      </c>
      <c r="I6" s="230"/>
    </row>
    <row r="7" spans="1:9" ht="15" customHeight="1">
      <c r="A7" s="228"/>
      <c r="B7" s="228"/>
      <c r="C7" s="229"/>
      <c r="D7" s="229"/>
      <c r="E7" s="229"/>
      <c r="F7" s="229"/>
      <c r="G7" s="229"/>
      <c r="H7" s="229"/>
      <c r="I7" s="230"/>
    </row>
    <row r="8" spans="1:9" ht="15" customHeight="1">
      <c r="A8" s="228" t="s">
        <v>8</v>
      </c>
      <c r="B8" s="228"/>
      <c r="C8" s="229" t="str">
        <f>'Stavební rozpočet'!G4</f>
        <v>20.10.2023</v>
      </c>
      <c r="D8" s="229"/>
      <c r="E8" s="229" t="s">
        <v>9</v>
      </c>
      <c r="F8" s="229" t="str">
        <f>'Stavební rozpočet'!G6</f>
        <v> </v>
      </c>
      <c r="G8" s="229"/>
      <c r="H8" s="231" t="s">
        <v>10</v>
      </c>
      <c r="I8" s="232">
        <v>82</v>
      </c>
    </row>
    <row r="9" spans="1:9" ht="15" customHeight="1">
      <c r="A9" s="228"/>
      <c r="B9" s="228"/>
      <c r="C9" s="229"/>
      <c r="D9" s="229"/>
      <c r="E9" s="229"/>
      <c r="F9" s="229"/>
      <c r="G9" s="229"/>
      <c r="H9" s="231"/>
      <c r="I9" s="232"/>
    </row>
    <row r="10" spans="1:9" ht="15" customHeight="1">
      <c r="A10" s="233" t="s">
        <v>11</v>
      </c>
      <c r="B10" s="233"/>
      <c r="C10" s="234" t="str">
        <f>'Stavební rozpočet'!C8</f>
        <v> </v>
      </c>
      <c r="D10" s="234"/>
      <c r="E10" s="234" t="s">
        <v>12</v>
      </c>
      <c r="F10" s="234" t="str">
        <f>'Stavební rozpočet'!I8</f>
        <v>Ing. Jiří Drahota, Jiří Trojan</v>
      </c>
      <c r="G10" s="234"/>
      <c r="H10" s="235" t="s">
        <v>13</v>
      </c>
      <c r="I10" s="236" t="str">
        <f>'Stavební rozpočet'!G8</f>
        <v>20.10.2023</v>
      </c>
    </row>
    <row r="11" spans="1:9" ht="15" customHeight="1">
      <c r="A11" s="233"/>
      <c r="B11" s="233"/>
      <c r="C11" s="234"/>
      <c r="D11" s="234"/>
      <c r="E11" s="234"/>
      <c r="F11" s="234"/>
      <c r="G11" s="234"/>
      <c r="H11" s="235"/>
      <c r="I11" s="236"/>
    </row>
    <row r="12" spans="1:9" ht="22.5" customHeight="1">
      <c r="A12" s="237" t="s">
        <v>14</v>
      </c>
      <c r="B12" s="237"/>
      <c r="C12" s="237"/>
      <c r="D12" s="237"/>
      <c r="E12" s="237"/>
      <c r="F12" s="237"/>
      <c r="G12" s="237"/>
      <c r="H12" s="237"/>
      <c r="I12" s="237"/>
    </row>
    <row r="13" spans="1:9" ht="26.25" customHeight="1">
      <c r="A13" s="4" t="s">
        <v>15</v>
      </c>
      <c r="B13" s="238" t="s">
        <v>16</v>
      </c>
      <c r="C13" s="238"/>
      <c r="D13" s="5" t="s">
        <v>17</v>
      </c>
      <c r="E13" s="238" t="s">
        <v>18</v>
      </c>
      <c r="F13" s="238"/>
      <c r="G13" s="5" t="s">
        <v>19</v>
      </c>
      <c r="H13" s="238" t="s">
        <v>20</v>
      </c>
      <c r="I13" s="238"/>
    </row>
    <row r="14" spans="1:9" ht="15" customHeight="1">
      <c r="A14" s="6" t="s">
        <v>21</v>
      </c>
      <c r="B14" s="7" t="s">
        <v>22</v>
      </c>
      <c r="C14" s="8">
        <f>SUM('Stavební rozpočet'!AB12:AB283)</f>
        <v>0</v>
      </c>
      <c r="D14" s="239" t="s">
        <v>23</v>
      </c>
      <c r="E14" s="239"/>
      <c r="F14" s="8">
        <f>VORN!I15</f>
        <v>0</v>
      </c>
      <c r="G14" s="239" t="s">
        <v>24</v>
      </c>
      <c r="H14" s="239"/>
      <c r="I14" s="9">
        <f>VORN!I21</f>
        <v>0</v>
      </c>
    </row>
    <row r="15" spans="1:9" ht="15" customHeight="1">
      <c r="A15" s="10"/>
      <c r="B15" s="7" t="s">
        <v>25</v>
      </c>
      <c r="C15" s="8">
        <f>SUM('Stavební rozpočet'!AC12:AC283)</f>
        <v>0</v>
      </c>
      <c r="D15" s="239" t="s">
        <v>26</v>
      </c>
      <c r="E15" s="239"/>
      <c r="F15" s="8">
        <f>VORN!I16</f>
        <v>0</v>
      </c>
      <c r="G15" s="239" t="s">
        <v>27</v>
      </c>
      <c r="H15" s="239"/>
      <c r="I15" s="9">
        <f>VORN!I22</f>
        <v>0</v>
      </c>
    </row>
    <row r="16" spans="1:9" ht="15" customHeight="1">
      <c r="A16" s="6" t="s">
        <v>28</v>
      </c>
      <c r="B16" s="7" t="s">
        <v>22</v>
      </c>
      <c r="C16" s="8">
        <f>SUM('Stavební rozpočet'!AD12:AD283)</f>
        <v>0</v>
      </c>
      <c r="D16" s="239" t="s">
        <v>29</v>
      </c>
      <c r="E16" s="239"/>
      <c r="F16" s="8">
        <f>VORN!I17</f>
        <v>0</v>
      </c>
      <c r="G16" s="239" t="s">
        <v>30</v>
      </c>
      <c r="H16" s="239"/>
      <c r="I16" s="9">
        <f>VORN!I23</f>
        <v>0</v>
      </c>
    </row>
    <row r="17" spans="1:9" ht="15" customHeight="1">
      <c r="A17" s="10"/>
      <c r="B17" s="7" t="s">
        <v>25</v>
      </c>
      <c r="C17" s="8">
        <f>SUM('Stavební rozpočet'!AE12:AE283)</f>
        <v>0</v>
      </c>
      <c r="D17" s="239"/>
      <c r="E17" s="239"/>
      <c r="F17" s="9"/>
      <c r="G17" s="239" t="s">
        <v>31</v>
      </c>
      <c r="H17" s="239"/>
      <c r="I17" s="9">
        <f>VORN!I24</f>
        <v>0</v>
      </c>
    </row>
    <row r="18" spans="1:9" ht="15" customHeight="1">
      <c r="A18" s="6" t="s">
        <v>32</v>
      </c>
      <c r="B18" s="7" t="s">
        <v>22</v>
      </c>
      <c r="C18" s="8">
        <f>SUM('Stavební rozpočet'!AF12:AF283)</f>
        <v>0</v>
      </c>
      <c r="D18" s="239"/>
      <c r="E18" s="239"/>
      <c r="F18" s="9"/>
      <c r="G18" s="239" t="s">
        <v>33</v>
      </c>
      <c r="H18" s="239"/>
      <c r="I18" s="9">
        <f>VORN!I25</f>
        <v>0</v>
      </c>
    </row>
    <row r="19" spans="1:9" ht="15" customHeight="1">
      <c r="A19" s="10"/>
      <c r="B19" s="7" t="s">
        <v>25</v>
      </c>
      <c r="C19" s="8">
        <f>SUM('Stavební rozpočet'!AG12:AG283)</f>
        <v>0</v>
      </c>
      <c r="D19" s="239"/>
      <c r="E19" s="239"/>
      <c r="F19" s="9"/>
      <c r="G19" s="239" t="s">
        <v>34</v>
      </c>
      <c r="H19" s="239"/>
      <c r="I19" s="9">
        <f>VORN!I26</f>
        <v>0</v>
      </c>
    </row>
    <row r="20" spans="1:9" ht="15" customHeight="1">
      <c r="A20" s="240" t="s">
        <v>35</v>
      </c>
      <c r="B20" s="240"/>
      <c r="C20" s="8">
        <f>SUM('Stavební rozpočet'!AH12:AH283)</f>
        <v>0</v>
      </c>
      <c r="D20" s="239"/>
      <c r="E20" s="239"/>
      <c r="F20" s="9"/>
      <c r="G20" s="239"/>
      <c r="H20" s="239"/>
      <c r="I20" s="9"/>
    </row>
    <row r="21" spans="1:9" ht="15" customHeight="1">
      <c r="A21" s="241" t="s">
        <v>36</v>
      </c>
      <c r="B21" s="241"/>
      <c r="C21" s="11">
        <f>SUM('Stavební rozpočet'!Z12:Z283)</f>
        <v>0</v>
      </c>
      <c r="D21" s="242"/>
      <c r="E21" s="242"/>
      <c r="F21" s="12"/>
      <c r="G21" s="242"/>
      <c r="H21" s="242"/>
      <c r="I21" s="12"/>
    </row>
    <row r="22" spans="1:9" ht="16.5" customHeight="1">
      <c r="A22" s="243" t="s">
        <v>37</v>
      </c>
      <c r="B22" s="243"/>
      <c r="C22" s="13">
        <f>SUM(C14:C21)</f>
        <v>0</v>
      </c>
      <c r="D22" s="244" t="s">
        <v>38</v>
      </c>
      <c r="E22" s="244"/>
      <c r="F22" s="13">
        <f>SUM(F14:F21)</f>
        <v>0</v>
      </c>
      <c r="G22" s="244" t="s">
        <v>39</v>
      </c>
      <c r="H22" s="244"/>
      <c r="I22" s="13">
        <f>SUM(I14:I21)</f>
        <v>0</v>
      </c>
    </row>
    <row r="23" spans="4:9" ht="15" customHeight="1">
      <c r="D23" s="240" t="s">
        <v>40</v>
      </c>
      <c r="E23" s="240"/>
      <c r="F23" s="14">
        <v>0</v>
      </c>
      <c r="G23" s="245" t="s">
        <v>41</v>
      </c>
      <c r="H23" s="245"/>
      <c r="I23" s="8">
        <v>0</v>
      </c>
    </row>
    <row r="24" spans="7:9" ht="15" customHeight="1">
      <c r="G24" s="240" t="s">
        <v>42</v>
      </c>
      <c r="H24" s="240"/>
      <c r="I24" s="11">
        <f>vorn_sum</f>
        <v>0</v>
      </c>
    </row>
    <row r="25" spans="7:9" ht="15" customHeight="1">
      <c r="G25" s="240" t="s">
        <v>43</v>
      </c>
      <c r="H25" s="240"/>
      <c r="I25" s="13">
        <v>0</v>
      </c>
    </row>
    <row r="27" spans="1:3" ht="15" customHeight="1">
      <c r="A27" s="246" t="s">
        <v>44</v>
      </c>
      <c r="B27" s="246"/>
      <c r="C27" s="15">
        <f>SUM('Stavební rozpočet'!AJ12:AJ283)</f>
        <v>0</v>
      </c>
    </row>
    <row r="28" spans="1:9" ht="15" customHeight="1">
      <c r="A28" s="247" t="s">
        <v>45</v>
      </c>
      <c r="B28" s="247"/>
      <c r="C28" s="16">
        <f>SUM('Stavební rozpočet'!AK12:AK283)</f>
        <v>0</v>
      </c>
      <c r="D28" s="248" t="s">
        <v>46</v>
      </c>
      <c r="E28" s="248"/>
      <c r="F28" s="15">
        <f>ROUND(C28*(15/100),2)</f>
        <v>0</v>
      </c>
      <c r="G28" s="248" t="s">
        <v>47</v>
      </c>
      <c r="H28" s="248"/>
      <c r="I28" s="15">
        <f>SUM(C27:C29)</f>
        <v>0</v>
      </c>
    </row>
    <row r="29" spans="1:9" ht="15" customHeight="1">
      <c r="A29" s="247" t="s">
        <v>48</v>
      </c>
      <c r="B29" s="247"/>
      <c r="C29" s="16">
        <f>SUM('Stavební rozpočet'!AL12:AL283)</f>
        <v>0</v>
      </c>
      <c r="D29" s="249" t="s">
        <v>49</v>
      </c>
      <c r="E29" s="249"/>
      <c r="F29" s="16">
        <f>ROUND(C29*(21/100),2)</f>
        <v>0</v>
      </c>
      <c r="G29" s="249" t="s">
        <v>50</v>
      </c>
      <c r="H29" s="249"/>
      <c r="I29" s="16">
        <f>SUM(F28:F29)+I28</f>
        <v>0</v>
      </c>
    </row>
    <row r="31" spans="1:9" ht="15" customHeight="1">
      <c r="A31" s="250" t="s">
        <v>51</v>
      </c>
      <c r="B31" s="250"/>
      <c r="C31" s="250"/>
      <c r="D31" s="251" t="s">
        <v>52</v>
      </c>
      <c r="E31" s="251"/>
      <c r="F31" s="251"/>
      <c r="G31" s="251" t="s">
        <v>53</v>
      </c>
      <c r="H31" s="251"/>
      <c r="I31" s="251"/>
    </row>
    <row r="32" spans="1:9" ht="15" customHeight="1">
      <c r="A32" s="252"/>
      <c r="B32" s="252"/>
      <c r="C32" s="252"/>
      <c r="D32" s="253"/>
      <c r="E32" s="253"/>
      <c r="F32" s="253"/>
      <c r="G32" s="253"/>
      <c r="H32" s="253"/>
      <c r="I32" s="253"/>
    </row>
    <row r="33" spans="1:9" ht="15" customHeight="1">
      <c r="A33" s="252"/>
      <c r="B33" s="252"/>
      <c r="C33" s="252"/>
      <c r="D33" s="253"/>
      <c r="E33" s="253"/>
      <c r="F33" s="253"/>
      <c r="G33" s="253"/>
      <c r="H33" s="253"/>
      <c r="I33" s="253"/>
    </row>
    <row r="34" spans="1:9" ht="15" customHeight="1">
      <c r="A34" s="252"/>
      <c r="B34" s="252"/>
      <c r="C34" s="252"/>
      <c r="D34" s="253"/>
      <c r="E34" s="253"/>
      <c r="F34" s="253"/>
      <c r="G34" s="253"/>
      <c r="H34" s="253"/>
      <c r="I34" s="253"/>
    </row>
    <row r="35" spans="1:9" ht="15" customHeight="1">
      <c r="A35" s="254" t="s">
        <v>54</v>
      </c>
      <c r="B35" s="254"/>
      <c r="C35" s="254"/>
      <c r="D35" s="255" t="s">
        <v>54</v>
      </c>
      <c r="E35" s="255"/>
      <c r="F35" s="255"/>
      <c r="G35" s="255" t="s">
        <v>54</v>
      </c>
      <c r="H35" s="255"/>
      <c r="I35" s="255"/>
    </row>
    <row r="36" ht="15" customHeight="1">
      <c r="A36" s="17" t="s">
        <v>55</v>
      </c>
    </row>
    <row r="37" spans="1:9" ht="12.75" customHeight="1">
      <c r="A37" s="229"/>
      <c r="B37" s="229"/>
      <c r="C37" s="229"/>
      <c r="D37" s="229"/>
      <c r="E37" s="229"/>
      <c r="F37" s="229"/>
      <c r="G37" s="229"/>
      <c r="H37" s="229"/>
      <c r="I37" s="229"/>
    </row>
  </sheetData>
  <sheetProtection selectLockedCells="1" selectUnlockedCells="1"/>
  <mergeCells count="83">
    <mergeCell ref="A37:I37"/>
    <mergeCell ref="A34:C34"/>
    <mergeCell ref="D34:F34"/>
    <mergeCell ref="G34:I34"/>
    <mergeCell ref="A35:C35"/>
    <mergeCell ref="D35:F35"/>
    <mergeCell ref="G35:I35"/>
    <mergeCell ref="A32:C32"/>
    <mergeCell ref="D32:F32"/>
    <mergeCell ref="G32:I32"/>
    <mergeCell ref="A33:C33"/>
    <mergeCell ref="D33:F33"/>
    <mergeCell ref="G33:I33"/>
    <mergeCell ref="A29:B29"/>
    <mergeCell ref="D29:E29"/>
    <mergeCell ref="G29:H29"/>
    <mergeCell ref="A31:C31"/>
    <mergeCell ref="D31:F31"/>
    <mergeCell ref="G31:I31"/>
    <mergeCell ref="D23:E23"/>
    <mergeCell ref="G23:H23"/>
    <mergeCell ref="G24:H24"/>
    <mergeCell ref="G25:H25"/>
    <mergeCell ref="A27:B27"/>
    <mergeCell ref="A28:B28"/>
    <mergeCell ref="D28:E28"/>
    <mergeCell ref="G28:H28"/>
    <mergeCell ref="A21:B21"/>
    <mergeCell ref="D21:E21"/>
    <mergeCell ref="G21:H21"/>
    <mergeCell ref="A22:B22"/>
    <mergeCell ref="D22:E22"/>
    <mergeCell ref="G22:H22"/>
    <mergeCell ref="D18:E18"/>
    <mergeCell ref="G18:H18"/>
    <mergeCell ref="D19:E19"/>
    <mergeCell ref="G19:H19"/>
    <mergeCell ref="A20:B20"/>
    <mergeCell ref="D20:E20"/>
    <mergeCell ref="G20:H20"/>
    <mergeCell ref="D15:E15"/>
    <mergeCell ref="G15:H15"/>
    <mergeCell ref="D16:E16"/>
    <mergeCell ref="G16:H16"/>
    <mergeCell ref="D17:E17"/>
    <mergeCell ref="G17:H17"/>
    <mergeCell ref="A12:I12"/>
    <mergeCell ref="B13:C13"/>
    <mergeCell ref="E13:F13"/>
    <mergeCell ref="H13:I13"/>
    <mergeCell ref="D14:E14"/>
    <mergeCell ref="G14:H14"/>
    <mergeCell ref="A10:B11"/>
    <mergeCell ref="C10:D11"/>
    <mergeCell ref="E10:E11"/>
    <mergeCell ref="F10:G11"/>
    <mergeCell ref="H10:H11"/>
    <mergeCell ref="I10:I11"/>
    <mergeCell ref="A8:B9"/>
    <mergeCell ref="C8:D9"/>
    <mergeCell ref="E8:E9"/>
    <mergeCell ref="F8:G9"/>
    <mergeCell ref="H8:H9"/>
    <mergeCell ref="I8:I9"/>
    <mergeCell ref="A6:B7"/>
    <mergeCell ref="C6:D7"/>
    <mergeCell ref="E6:E7"/>
    <mergeCell ref="F6:G7"/>
    <mergeCell ref="H6:H7"/>
    <mergeCell ref="I6:I7"/>
    <mergeCell ref="A4:B5"/>
    <mergeCell ref="C4:D5"/>
    <mergeCell ref="E4:E5"/>
    <mergeCell ref="F4:G5"/>
    <mergeCell ref="H4:H5"/>
    <mergeCell ref="I4:I5"/>
    <mergeCell ref="A1:I1"/>
    <mergeCell ref="A2:B3"/>
    <mergeCell ref="C2:D3"/>
    <mergeCell ref="E2:E3"/>
    <mergeCell ref="F2:G3"/>
    <mergeCell ref="H2:H3"/>
    <mergeCell ref="I2:I3"/>
  </mergeCells>
  <printOptions/>
  <pageMargins left="0.39375" right="0.39375" top="0.5909722222222222" bottom="0.5909722222222222" header="0.5118110236220472" footer="0.5118110236220472"/>
  <pageSetup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42"/>
  <sheetViews>
    <sheetView showOutlineSymbols="0" zoomScale="90" zoomScaleNormal="90" zoomScalePageLayoutView="0" workbookViewId="0" topLeftCell="A1">
      <pane ySplit="11" topLeftCell="A18" activePane="bottomLeft" state="frozen"/>
      <selection pane="topLeft" activeCell="A1" sqref="A1"/>
      <selection pane="bottomLeft" activeCell="F36" sqref="F36"/>
    </sheetView>
  </sheetViews>
  <sheetFormatPr defaultColWidth="14.16015625" defaultRowHeight="15" customHeight="1"/>
  <cols>
    <col min="1" max="2" width="5" style="1" customWidth="1"/>
    <col min="3" max="3" width="83.33203125" style="1" customWidth="1"/>
    <col min="4" max="4" width="14.16015625" style="1" customWidth="1"/>
    <col min="5" max="7" width="32.5" style="1" customWidth="1"/>
    <col min="8" max="9" width="14.16015625" style="1" hidden="1" customWidth="1"/>
  </cols>
  <sheetData>
    <row r="1" spans="1:7" ht="34.5" customHeight="1">
      <c r="A1" s="256" t="s">
        <v>56</v>
      </c>
      <c r="B1" s="256"/>
      <c r="C1" s="256"/>
      <c r="D1" s="256"/>
      <c r="E1" s="256"/>
      <c r="F1" s="256"/>
      <c r="G1" s="256"/>
    </row>
    <row r="2" spans="1:7" ht="15" customHeight="1">
      <c r="A2" s="224" t="s">
        <v>1</v>
      </c>
      <c r="B2" s="224"/>
      <c r="C2" s="225" t="str">
        <f>'Stavební rozpočet'!C2</f>
        <v>MĚSTSKÁ KNIHOVNA</v>
      </c>
      <c r="D2" s="257" t="s">
        <v>57</v>
      </c>
      <c r="E2" s="257" t="s">
        <v>58</v>
      </c>
      <c r="F2" s="226" t="s">
        <v>2</v>
      </c>
      <c r="G2" s="258" t="str">
        <f>'Stavební rozpočet'!I2</f>
        <v>MĚSTO RUMBURK</v>
      </c>
    </row>
    <row r="3" spans="1:7" ht="15" customHeight="1">
      <c r="A3" s="224"/>
      <c r="B3" s="224"/>
      <c r="C3" s="225"/>
      <c r="D3" s="257"/>
      <c r="E3" s="257"/>
      <c r="F3" s="257"/>
      <c r="G3" s="258"/>
    </row>
    <row r="4" spans="1:7" ht="15" customHeight="1">
      <c r="A4" s="228" t="s">
        <v>4</v>
      </c>
      <c r="B4" s="228"/>
      <c r="C4" s="229" t="str">
        <f>'Stavební rozpočet'!C4</f>
        <v>ZMĚNA SYSTÉMU VYTÁPĚNÍ</v>
      </c>
      <c r="D4" s="231" t="s">
        <v>8</v>
      </c>
      <c r="E4" s="231" t="s">
        <v>59</v>
      </c>
      <c r="F4" s="229" t="s">
        <v>5</v>
      </c>
      <c r="G4" s="259" t="str">
        <f>'Stavební rozpočet'!I4</f>
        <v>Ing. Jiří Drahota</v>
      </c>
    </row>
    <row r="5" spans="1:7" ht="15" customHeight="1">
      <c r="A5" s="228"/>
      <c r="B5" s="228"/>
      <c r="C5" s="229"/>
      <c r="D5" s="229"/>
      <c r="E5" s="229"/>
      <c r="F5" s="229"/>
      <c r="G5" s="259"/>
    </row>
    <row r="6" spans="1:7" ht="15" customHeight="1">
      <c r="A6" s="228" t="s">
        <v>6</v>
      </c>
      <c r="B6" s="228"/>
      <c r="C6" s="229" t="str">
        <f>'Stavební rozpočet'!C6</f>
        <v>RUMBURK,TŘÍDA 9.KVĚTNA 150/29</v>
      </c>
      <c r="D6" s="231" t="s">
        <v>9</v>
      </c>
      <c r="E6" s="231" t="s">
        <v>58</v>
      </c>
      <c r="F6" s="229" t="s">
        <v>7</v>
      </c>
      <c r="G6" s="259" t="str">
        <f>'Stavební rozpočet'!I6</f>
        <v>BUEDE VYBRÁN</v>
      </c>
    </row>
    <row r="7" spans="1:7" ht="15" customHeight="1">
      <c r="A7" s="228"/>
      <c r="B7" s="228"/>
      <c r="C7" s="229"/>
      <c r="D7" s="229"/>
      <c r="E7" s="229"/>
      <c r="F7" s="229"/>
      <c r="G7" s="259"/>
    </row>
    <row r="8" spans="1:7" ht="15" customHeight="1">
      <c r="A8" s="228" t="s">
        <v>12</v>
      </c>
      <c r="B8" s="228"/>
      <c r="C8" s="229" t="str">
        <f>'Stavební rozpočet'!I8</f>
        <v>Ing. Jiří Drahota, Jiří Trojan</v>
      </c>
      <c r="D8" s="235" t="s">
        <v>60</v>
      </c>
      <c r="E8" s="231" t="s">
        <v>59</v>
      </c>
      <c r="F8" s="231" t="s">
        <v>60</v>
      </c>
      <c r="G8" s="259" t="str">
        <f>'Stavební rozpočet'!G8</f>
        <v>20.10.2023</v>
      </c>
    </row>
    <row r="9" spans="1:7" ht="15" customHeight="1">
      <c r="A9" s="228"/>
      <c r="B9" s="228"/>
      <c r="C9" s="229"/>
      <c r="D9" s="235"/>
      <c r="E9" s="231"/>
      <c r="F9" s="231"/>
      <c r="G9" s="259"/>
    </row>
    <row r="10" spans="1:7" ht="15" customHeight="1">
      <c r="A10" s="260" t="s">
        <v>61</v>
      </c>
      <c r="B10" s="260"/>
      <c r="C10" s="18" t="s">
        <v>62</v>
      </c>
      <c r="E10" s="19" t="s">
        <v>63</v>
      </c>
      <c r="F10" s="20" t="s">
        <v>64</v>
      </c>
      <c r="G10" s="20" t="s">
        <v>65</v>
      </c>
    </row>
    <row r="11" spans="1:9" ht="15" customHeight="1">
      <c r="A11" s="261" t="s">
        <v>66</v>
      </c>
      <c r="B11" s="261"/>
      <c r="C11" s="231" t="s">
        <v>67</v>
      </c>
      <c r="D11" s="231"/>
      <c r="E11" s="22">
        <f>'Stavební rozpočet'!H12</f>
        <v>0</v>
      </c>
      <c r="F11" s="22">
        <f>'Stavební rozpočet'!I12</f>
        <v>0</v>
      </c>
      <c r="G11" s="22">
        <f>'Stavební rozpočet'!J12</f>
        <v>0</v>
      </c>
      <c r="H11" s="23" t="s">
        <v>68</v>
      </c>
      <c r="I11" s="22">
        <f aca="true" t="shared" si="0" ref="I11:I41">IF(H11="F",0,G11)</f>
        <v>0</v>
      </c>
    </row>
    <row r="12" spans="1:9" ht="15" customHeight="1">
      <c r="A12" s="261" t="s">
        <v>69</v>
      </c>
      <c r="B12" s="261"/>
      <c r="C12" s="231" t="s">
        <v>70</v>
      </c>
      <c r="D12" s="231"/>
      <c r="E12" s="22">
        <f>'Stavební rozpočet'!H20</f>
        <v>0</v>
      </c>
      <c r="F12" s="22">
        <f>'Stavební rozpočet'!I20</f>
        <v>0</v>
      </c>
      <c r="G12" s="22">
        <f>'Stavební rozpočet'!J20</f>
        <v>0</v>
      </c>
      <c r="H12" s="23" t="s">
        <v>68</v>
      </c>
      <c r="I12" s="22">
        <f t="shared" si="0"/>
        <v>0</v>
      </c>
    </row>
    <row r="13" spans="1:9" ht="15" customHeight="1">
      <c r="A13" s="261" t="s">
        <v>71</v>
      </c>
      <c r="B13" s="261"/>
      <c r="C13" s="231" t="s">
        <v>72</v>
      </c>
      <c r="D13" s="231"/>
      <c r="E13" s="22">
        <f>'Stavební rozpočet'!H25</f>
        <v>0</v>
      </c>
      <c r="F13" s="22">
        <f>'Stavební rozpočet'!I25</f>
        <v>0</v>
      </c>
      <c r="G13" s="22">
        <f>'Stavební rozpočet'!J25</f>
        <v>0</v>
      </c>
      <c r="H13" s="23" t="s">
        <v>68</v>
      </c>
      <c r="I13" s="22">
        <f t="shared" si="0"/>
        <v>0</v>
      </c>
    </row>
    <row r="14" spans="1:9" ht="15" customHeight="1">
      <c r="A14" s="261" t="s">
        <v>73</v>
      </c>
      <c r="B14" s="261"/>
      <c r="C14" s="231" t="s">
        <v>74</v>
      </c>
      <c r="D14" s="231"/>
      <c r="E14" s="22">
        <f>'Stavební rozpočet'!H28</f>
        <v>0</v>
      </c>
      <c r="F14" s="22">
        <f>'Stavební rozpočet'!I28</f>
        <v>0</v>
      </c>
      <c r="G14" s="22">
        <f>'Stavební rozpočet'!J28</f>
        <v>0</v>
      </c>
      <c r="H14" s="23" t="s">
        <v>68</v>
      </c>
      <c r="I14" s="22">
        <f t="shared" si="0"/>
        <v>0</v>
      </c>
    </row>
    <row r="15" spans="1:9" ht="15" customHeight="1">
      <c r="A15" s="261" t="s">
        <v>75</v>
      </c>
      <c r="B15" s="261"/>
      <c r="C15" s="231" t="s">
        <v>76</v>
      </c>
      <c r="D15" s="231"/>
      <c r="E15" s="22">
        <f>'Stavební rozpočet'!H34</f>
        <v>0</v>
      </c>
      <c r="F15" s="22">
        <f>'Stavební rozpočet'!I34</f>
        <v>0</v>
      </c>
      <c r="G15" s="22">
        <f>'Stavební rozpočet'!J34</f>
        <v>0</v>
      </c>
      <c r="H15" s="23" t="s">
        <v>68</v>
      </c>
      <c r="I15" s="22">
        <f t="shared" si="0"/>
        <v>0</v>
      </c>
    </row>
    <row r="16" spans="1:9" ht="15" customHeight="1">
      <c r="A16" s="261" t="s">
        <v>77</v>
      </c>
      <c r="B16" s="261"/>
      <c r="C16" s="231" t="s">
        <v>78</v>
      </c>
      <c r="D16" s="231"/>
      <c r="E16" s="22">
        <f>'Stavební rozpočet'!H38</f>
        <v>0</v>
      </c>
      <c r="F16" s="22">
        <f>'Stavební rozpočet'!I38</f>
        <v>0</v>
      </c>
      <c r="G16" s="22">
        <f>'Stavební rozpočet'!J38</f>
        <v>0</v>
      </c>
      <c r="H16" s="23" t="s">
        <v>68</v>
      </c>
      <c r="I16" s="22">
        <f t="shared" si="0"/>
        <v>0</v>
      </c>
    </row>
    <row r="17" spans="1:9" ht="15" customHeight="1">
      <c r="A17" s="261" t="s">
        <v>79</v>
      </c>
      <c r="B17" s="261"/>
      <c r="C17" s="231" t="s">
        <v>80</v>
      </c>
      <c r="D17" s="231"/>
      <c r="E17" s="22">
        <f>'Stavební rozpočet'!H45</f>
        <v>0</v>
      </c>
      <c r="F17" s="22">
        <f>'Stavební rozpočet'!I45</f>
        <v>0</v>
      </c>
      <c r="G17" s="22">
        <f>'Stavební rozpočet'!J45</f>
        <v>0</v>
      </c>
      <c r="H17" s="23" t="s">
        <v>68</v>
      </c>
      <c r="I17" s="22">
        <f t="shared" si="0"/>
        <v>0</v>
      </c>
    </row>
    <row r="18" spans="1:9" ht="15" customHeight="1">
      <c r="A18" s="261" t="s">
        <v>81</v>
      </c>
      <c r="B18" s="261"/>
      <c r="C18" s="231" t="s">
        <v>82</v>
      </c>
      <c r="D18" s="231"/>
      <c r="E18" s="22">
        <f>'Stavební rozpočet'!H62</f>
        <v>0</v>
      </c>
      <c r="F18" s="22">
        <f>'Stavební rozpočet'!I62</f>
        <v>0</v>
      </c>
      <c r="G18" s="22">
        <f>'Stavební rozpočet'!J62</f>
        <v>0</v>
      </c>
      <c r="H18" s="23" t="s">
        <v>68</v>
      </c>
      <c r="I18" s="22">
        <f t="shared" si="0"/>
        <v>0</v>
      </c>
    </row>
    <row r="19" spans="1:9" ht="15" customHeight="1">
      <c r="A19" s="261" t="s">
        <v>83</v>
      </c>
      <c r="B19" s="261"/>
      <c r="C19" s="231" t="s">
        <v>84</v>
      </c>
      <c r="D19" s="231"/>
      <c r="E19" s="22">
        <f>'Stavební rozpočet'!H72</f>
        <v>0</v>
      </c>
      <c r="F19" s="22">
        <f>'Stavební rozpočet'!I72</f>
        <v>0</v>
      </c>
      <c r="G19" s="22">
        <f>'Stavební rozpočet'!J72</f>
        <v>0</v>
      </c>
      <c r="H19" s="23" t="s">
        <v>68</v>
      </c>
      <c r="I19" s="22">
        <f t="shared" si="0"/>
        <v>0</v>
      </c>
    </row>
    <row r="20" spans="1:9" ht="15" customHeight="1">
      <c r="A20" s="261" t="s">
        <v>85</v>
      </c>
      <c r="B20" s="261"/>
      <c r="C20" s="231" t="s">
        <v>86</v>
      </c>
      <c r="D20" s="231"/>
      <c r="E20" s="22">
        <f>'Stavební rozpočet'!H78</f>
        <v>0</v>
      </c>
      <c r="F20" s="22">
        <f>'Stavební rozpočet'!I78</f>
        <v>0</v>
      </c>
      <c r="G20" s="22">
        <f>'Stavební rozpočet'!J78</f>
        <v>0</v>
      </c>
      <c r="H20" s="23" t="s">
        <v>68</v>
      </c>
      <c r="I20" s="22">
        <f t="shared" si="0"/>
        <v>0</v>
      </c>
    </row>
    <row r="21" spans="1:9" ht="15" customHeight="1">
      <c r="A21" s="261" t="s">
        <v>87</v>
      </c>
      <c r="B21" s="261"/>
      <c r="C21" s="231" t="s">
        <v>88</v>
      </c>
      <c r="D21" s="231"/>
      <c r="E21" s="22">
        <f>'Stavební rozpočet'!H88</f>
        <v>0</v>
      </c>
      <c r="F21" s="22">
        <f>'Stavební rozpočet'!I88</f>
        <v>0</v>
      </c>
      <c r="G21" s="22">
        <f>'Stavební rozpočet'!J88</f>
        <v>0</v>
      </c>
      <c r="H21" s="23" t="s">
        <v>68</v>
      </c>
      <c r="I21" s="22">
        <f t="shared" si="0"/>
        <v>0</v>
      </c>
    </row>
    <row r="22" spans="1:9" ht="15" customHeight="1">
      <c r="A22" s="261" t="s">
        <v>89</v>
      </c>
      <c r="B22" s="261"/>
      <c r="C22" s="231" t="s">
        <v>90</v>
      </c>
      <c r="D22" s="231"/>
      <c r="E22" s="22">
        <f>'Stavební rozpočet'!H129</f>
        <v>0</v>
      </c>
      <c r="F22" s="22">
        <f>'Stavební rozpočet'!I129</f>
        <v>0</v>
      </c>
      <c r="G22" s="22">
        <f>'Stavební rozpočet'!J129</f>
        <v>0</v>
      </c>
      <c r="H22" s="23" t="s">
        <v>68</v>
      </c>
      <c r="I22" s="22">
        <f t="shared" si="0"/>
        <v>0</v>
      </c>
    </row>
    <row r="23" spans="1:9" ht="15" customHeight="1">
      <c r="A23" s="261" t="s">
        <v>91</v>
      </c>
      <c r="B23" s="261"/>
      <c r="C23" s="231" t="s">
        <v>92</v>
      </c>
      <c r="D23" s="231"/>
      <c r="E23" s="22">
        <f>'Stavební rozpočet'!H138</f>
        <v>0</v>
      </c>
      <c r="F23" s="22">
        <f>'Stavební rozpočet'!I138</f>
        <v>0</v>
      </c>
      <c r="G23" s="22">
        <f>'Stavební rozpočet'!J138</f>
        <v>0</v>
      </c>
      <c r="H23" s="23" t="s">
        <v>68</v>
      </c>
      <c r="I23" s="22">
        <f t="shared" si="0"/>
        <v>0</v>
      </c>
    </row>
    <row r="24" spans="1:9" ht="15" customHeight="1">
      <c r="A24" s="261" t="s">
        <v>93</v>
      </c>
      <c r="B24" s="261"/>
      <c r="C24" s="231" t="s">
        <v>94</v>
      </c>
      <c r="D24" s="231"/>
      <c r="E24" s="22">
        <f>'Stavební rozpočet'!H145</f>
        <v>0</v>
      </c>
      <c r="F24" s="22">
        <f>'Stavební rozpočet'!I145</f>
        <v>0</v>
      </c>
      <c r="G24" s="22">
        <f>'Stavební rozpočet'!J145</f>
        <v>0</v>
      </c>
      <c r="H24" s="23" t="s">
        <v>68</v>
      </c>
      <c r="I24" s="22">
        <f t="shared" si="0"/>
        <v>0</v>
      </c>
    </row>
    <row r="25" spans="1:9" ht="15" customHeight="1">
      <c r="A25" s="261" t="s">
        <v>95</v>
      </c>
      <c r="B25" s="261"/>
      <c r="C25" s="231" t="s">
        <v>96</v>
      </c>
      <c r="D25" s="231"/>
      <c r="E25" s="22">
        <f>'Stavební rozpočet'!H148</f>
        <v>0</v>
      </c>
      <c r="F25" s="22">
        <f>'Stavební rozpočet'!I148</f>
        <v>0</v>
      </c>
      <c r="G25" s="22">
        <f>'Stavební rozpočet'!J148</f>
        <v>0</v>
      </c>
      <c r="H25" s="23" t="s">
        <v>68</v>
      </c>
      <c r="I25" s="22">
        <f t="shared" si="0"/>
        <v>0</v>
      </c>
    </row>
    <row r="26" spans="1:9" ht="15" customHeight="1">
      <c r="A26" s="261" t="s">
        <v>97</v>
      </c>
      <c r="B26" s="261"/>
      <c r="C26" s="231" t="s">
        <v>98</v>
      </c>
      <c r="D26" s="231"/>
      <c r="E26" s="22">
        <f>'Stavební rozpočet'!H157</f>
        <v>0</v>
      </c>
      <c r="F26" s="22">
        <f>'Stavební rozpočet'!I157</f>
        <v>0</v>
      </c>
      <c r="G26" s="22">
        <f>'Stavební rozpočet'!J157</f>
        <v>0</v>
      </c>
      <c r="H26" s="23" t="s">
        <v>68</v>
      </c>
      <c r="I26" s="22">
        <f t="shared" si="0"/>
        <v>0</v>
      </c>
    </row>
    <row r="27" spans="1:9" ht="15" customHeight="1">
      <c r="A27" s="261" t="s">
        <v>99</v>
      </c>
      <c r="B27" s="261"/>
      <c r="C27" s="231" t="s">
        <v>100</v>
      </c>
      <c r="D27" s="231"/>
      <c r="E27" s="22">
        <f>'Stavební rozpočet'!H172</f>
        <v>0</v>
      </c>
      <c r="F27" s="22">
        <f>'Stavební rozpočet'!I172</f>
        <v>0</v>
      </c>
      <c r="G27" s="22">
        <f>'Stavební rozpočet'!J172</f>
        <v>0</v>
      </c>
      <c r="H27" s="23" t="s">
        <v>68</v>
      </c>
      <c r="I27" s="22">
        <f t="shared" si="0"/>
        <v>0</v>
      </c>
    </row>
    <row r="28" spans="1:9" ht="15" customHeight="1">
      <c r="A28" s="261" t="s">
        <v>101</v>
      </c>
      <c r="B28" s="261"/>
      <c r="C28" s="231" t="s">
        <v>102</v>
      </c>
      <c r="D28" s="231"/>
      <c r="E28" s="22">
        <f>'Stavební rozpočet'!H197</f>
        <v>0</v>
      </c>
      <c r="F28" s="22">
        <f>'Stavební rozpočet'!I197</f>
        <v>0</v>
      </c>
      <c r="G28" s="22">
        <f>'Stavební rozpočet'!J197</f>
        <v>0</v>
      </c>
      <c r="H28" s="23" t="s">
        <v>68</v>
      </c>
      <c r="I28" s="22">
        <f t="shared" si="0"/>
        <v>0</v>
      </c>
    </row>
    <row r="29" spans="1:9" ht="15" customHeight="1">
      <c r="A29" s="261" t="s">
        <v>103</v>
      </c>
      <c r="B29" s="261"/>
      <c r="C29" s="231" t="s">
        <v>104</v>
      </c>
      <c r="D29" s="231"/>
      <c r="E29" s="22">
        <f>'Stavební rozpočet'!H201</f>
        <v>0</v>
      </c>
      <c r="F29" s="22">
        <f>'Stavební rozpočet'!I201</f>
        <v>0</v>
      </c>
      <c r="G29" s="22">
        <f>'Stavební rozpočet'!J201</f>
        <v>0</v>
      </c>
      <c r="H29" s="23" t="s">
        <v>68</v>
      </c>
      <c r="I29" s="22">
        <f t="shared" si="0"/>
        <v>0</v>
      </c>
    </row>
    <row r="30" spans="1:9" ht="15" customHeight="1">
      <c r="A30" s="261" t="s">
        <v>105</v>
      </c>
      <c r="B30" s="261"/>
      <c r="C30" s="231" t="s">
        <v>106</v>
      </c>
      <c r="D30" s="231"/>
      <c r="E30" s="22">
        <f>'Stavební rozpočet'!H208</f>
        <v>0</v>
      </c>
      <c r="F30" s="22">
        <f>'Stavební rozpočet'!I208</f>
        <v>0</v>
      </c>
      <c r="G30" s="22">
        <f>'Stavební rozpočet'!J208</f>
        <v>0</v>
      </c>
      <c r="H30" s="23" t="s">
        <v>68</v>
      </c>
      <c r="I30" s="22">
        <f t="shared" si="0"/>
        <v>0</v>
      </c>
    </row>
    <row r="31" spans="1:9" ht="15" customHeight="1">
      <c r="A31" s="261" t="s">
        <v>107</v>
      </c>
      <c r="B31" s="261"/>
      <c r="C31" s="231" t="s">
        <v>108</v>
      </c>
      <c r="D31" s="231"/>
      <c r="E31" s="22">
        <f>'Stavební rozpočet'!H211</f>
        <v>0</v>
      </c>
      <c r="F31" s="22">
        <f>'Stavební rozpočet'!I211</f>
        <v>0</v>
      </c>
      <c r="G31" s="22">
        <f>'Stavební rozpočet'!J211</f>
        <v>0</v>
      </c>
      <c r="H31" s="23" t="s">
        <v>68</v>
      </c>
      <c r="I31" s="22">
        <f t="shared" si="0"/>
        <v>0</v>
      </c>
    </row>
    <row r="32" spans="1:9" ht="15" customHeight="1">
      <c r="A32" s="261" t="s">
        <v>109</v>
      </c>
      <c r="B32" s="261"/>
      <c r="C32" s="231" t="s">
        <v>110</v>
      </c>
      <c r="D32" s="231"/>
      <c r="E32" s="22">
        <f>'Stavební rozpočet'!H220</f>
        <v>0</v>
      </c>
      <c r="F32" s="22">
        <f>'Stavební rozpočet'!I220</f>
        <v>0</v>
      </c>
      <c r="G32" s="22">
        <f>'Stavební rozpočet'!J220</f>
        <v>0</v>
      </c>
      <c r="H32" s="23" t="s">
        <v>68</v>
      </c>
      <c r="I32" s="22">
        <f t="shared" si="0"/>
        <v>0</v>
      </c>
    </row>
    <row r="33" spans="1:9" ht="15" customHeight="1">
      <c r="A33" s="261" t="s">
        <v>111</v>
      </c>
      <c r="B33" s="261"/>
      <c r="C33" s="231" t="s">
        <v>112</v>
      </c>
      <c r="D33" s="231"/>
      <c r="E33" s="22">
        <f>'Stavební rozpočet'!H231</f>
        <v>0</v>
      </c>
      <c r="F33" s="22">
        <f>'Stavební rozpočet'!I231</f>
        <v>0</v>
      </c>
      <c r="G33" s="22">
        <f>'Stavební rozpočet'!J231</f>
        <v>0</v>
      </c>
      <c r="H33" s="23" t="s">
        <v>68</v>
      </c>
      <c r="I33" s="22">
        <f t="shared" si="0"/>
        <v>0</v>
      </c>
    </row>
    <row r="34" spans="1:9" ht="15" customHeight="1">
      <c r="A34" s="261" t="s">
        <v>113</v>
      </c>
      <c r="B34" s="261"/>
      <c r="C34" s="231" t="s">
        <v>114</v>
      </c>
      <c r="D34" s="231"/>
      <c r="E34" s="22">
        <f>'Stavební rozpočet'!H243</f>
        <v>0</v>
      </c>
      <c r="F34" s="22">
        <f>'Stavební rozpočet'!I243</f>
        <v>0</v>
      </c>
      <c r="G34" s="22">
        <f>'Stavební rozpočet'!J243</f>
        <v>0</v>
      </c>
      <c r="H34" s="23" t="s">
        <v>68</v>
      </c>
      <c r="I34" s="22">
        <f t="shared" si="0"/>
        <v>0</v>
      </c>
    </row>
    <row r="35" spans="1:9" ht="15" customHeight="1">
      <c r="A35" s="261" t="s">
        <v>115</v>
      </c>
      <c r="B35" s="261"/>
      <c r="C35" s="231" t="s">
        <v>116</v>
      </c>
      <c r="D35" s="231"/>
      <c r="E35" s="22">
        <f>'Stavební rozpočet'!H246</f>
        <v>0</v>
      </c>
      <c r="F35" s="22">
        <f>'Stavební rozpočet'!I246</f>
        <v>0</v>
      </c>
      <c r="G35" s="22">
        <f>'Stavební rozpočet'!J246</f>
        <v>0</v>
      </c>
      <c r="H35" s="23" t="s">
        <v>68</v>
      </c>
      <c r="I35" s="22">
        <f t="shared" si="0"/>
        <v>0</v>
      </c>
    </row>
    <row r="36" spans="1:9" s="1" customFormat="1" ht="15" customHeight="1">
      <c r="A36" s="262" t="s">
        <v>117</v>
      </c>
      <c r="B36" s="262"/>
      <c r="C36" s="263" t="s">
        <v>118</v>
      </c>
      <c r="D36" s="263"/>
      <c r="E36" s="26">
        <f>'Stavební rozpočet'!H249</f>
        <v>0</v>
      </c>
      <c r="F36" s="26">
        <f>'Stavební rozpočet'!I249</f>
        <v>0</v>
      </c>
      <c r="G36" s="26">
        <f>'Stavební rozpočet'!J249</f>
        <v>0</v>
      </c>
      <c r="H36" s="27" t="s">
        <v>68</v>
      </c>
      <c r="I36" s="26">
        <f t="shared" si="0"/>
        <v>0</v>
      </c>
    </row>
    <row r="37" spans="1:9" ht="15" customHeight="1">
      <c r="A37" s="261" t="s">
        <v>119</v>
      </c>
      <c r="B37" s="261"/>
      <c r="C37" s="231" t="s">
        <v>120</v>
      </c>
      <c r="D37" s="231"/>
      <c r="E37" s="22">
        <f>'Stavební rozpočet'!H256</f>
        <v>0</v>
      </c>
      <c r="F37" s="22">
        <f>'Stavební rozpočet'!I256</f>
        <v>0</v>
      </c>
      <c r="G37" s="22">
        <f>'Stavební rozpočet'!J256</f>
        <v>0</v>
      </c>
      <c r="H37" s="23" t="s">
        <v>68</v>
      </c>
      <c r="I37" s="22">
        <f t="shared" si="0"/>
        <v>0</v>
      </c>
    </row>
    <row r="38" spans="1:9" ht="15" customHeight="1">
      <c r="A38" s="261"/>
      <c r="B38" s="261"/>
      <c r="C38" s="231" t="s">
        <v>121</v>
      </c>
      <c r="D38" s="231"/>
      <c r="E38" s="22">
        <f>'Stavební rozpočet'!H270</f>
        <v>0</v>
      </c>
      <c r="F38" s="22">
        <f>'Stavební rozpočet'!I270</f>
        <v>0</v>
      </c>
      <c r="G38" s="22">
        <f>'Stavební rozpočet'!J270</f>
        <v>0</v>
      </c>
      <c r="H38" s="23" t="s">
        <v>122</v>
      </c>
      <c r="I38" s="22">
        <f t="shared" si="0"/>
        <v>0</v>
      </c>
    </row>
    <row r="39" spans="1:9" s="1" customFormat="1" ht="15" customHeight="1">
      <c r="A39" s="262" t="s">
        <v>123</v>
      </c>
      <c r="B39" s="262"/>
      <c r="C39" s="263" t="s">
        <v>124</v>
      </c>
      <c r="D39" s="263"/>
      <c r="E39" s="26">
        <f>'Stavební rozpočet'!H271</f>
        <v>0</v>
      </c>
      <c r="F39" s="26">
        <f>'Stavební rozpočet'!I271</f>
        <v>0</v>
      </c>
      <c r="G39" s="26">
        <f>'Stavební rozpočet'!J271</f>
        <v>0</v>
      </c>
      <c r="H39" s="27" t="s">
        <v>68</v>
      </c>
      <c r="I39" s="26">
        <f t="shared" si="0"/>
        <v>0</v>
      </c>
    </row>
    <row r="40" spans="1:9" ht="15" customHeight="1">
      <c r="A40" s="261" t="s">
        <v>125</v>
      </c>
      <c r="B40" s="261"/>
      <c r="C40" s="231" t="s">
        <v>24</v>
      </c>
      <c r="D40" s="231"/>
      <c r="E40" s="22">
        <f>'Stavební rozpočet'!H276</f>
        <v>0</v>
      </c>
      <c r="F40" s="22">
        <f>'Stavební rozpočet'!I276</f>
        <v>0</v>
      </c>
      <c r="G40" s="22">
        <f>'Stavební rozpočet'!J276</f>
        <v>0</v>
      </c>
      <c r="H40" s="23" t="s">
        <v>68</v>
      </c>
      <c r="I40" s="22">
        <f t="shared" si="0"/>
        <v>0</v>
      </c>
    </row>
    <row r="41" spans="1:9" ht="15" customHeight="1">
      <c r="A41" s="261" t="s">
        <v>126</v>
      </c>
      <c r="B41" s="261"/>
      <c r="C41" s="231" t="s">
        <v>127</v>
      </c>
      <c r="D41" s="231"/>
      <c r="E41" s="22">
        <f>'Stavební rozpočet'!H281</f>
        <v>0</v>
      </c>
      <c r="F41" s="22">
        <f>'Stavební rozpočet'!I281</f>
        <v>0</v>
      </c>
      <c r="G41" s="22">
        <f>'Stavební rozpočet'!J281</f>
        <v>0</v>
      </c>
      <c r="H41" s="23" t="s">
        <v>68</v>
      </c>
      <c r="I41" s="22">
        <f t="shared" si="0"/>
        <v>0</v>
      </c>
    </row>
    <row r="42" spans="6:7" ht="15" customHeight="1">
      <c r="F42" s="28" t="s">
        <v>128</v>
      </c>
      <c r="G42" s="29">
        <f>SUM(I11:I41)</f>
        <v>0</v>
      </c>
    </row>
  </sheetData>
  <sheetProtection selectLockedCells="1" selectUnlockedCells="1"/>
  <mergeCells count="88">
    <mergeCell ref="A41:B41"/>
    <mergeCell ref="C41:D41"/>
    <mergeCell ref="A38:B38"/>
    <mergeCell ref="C38:D38"/>
    <mergeCell ref="A39:B39"/>
    <mergeCell ref="C39:D39"/>
    <mergeCell ref="A40:B40"/>
    <mergeCell ref="C40:D40"/>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3:B23"/>
    <mergeCell ref="C23:D23"/>
    <mergeCell ref="A24:B24"/>
    <mergeCell ref="C24:D24"/>
    <mergeCell ref="A25:B25"/>
    <mergeCell ref="C25:D25"/>
    <mergeCell ref="A20:B20"/>
    <mergeCell ref="C20:D20"/>
    <mergeCell ref="A21:B21"/>
    <mergeCell ref="C21:D21"/>
    <mergeCell ref="A22:B22"/>
    <mergeCell ref="C22:D22"/>
    <mergeCell ref="A17:B17"/>
    <mergeCell ref="C17:D17"/>
    <mergeCell ref="A18:B18"/>
    <mergeCell ref="C18:D18"/>
    <mergeCell ref="A19:B19"/>
    <mergeCell ref="C19:D19"/>
    <mergeCell ref="A14:B14"/>
    <mergeCell ref="C14:D14"/>
    <mergeCell ref="A15:B15"/>
    <mergeCell ref="C15:D15"/>
    <mergeCell ref="A16:B16"/>
    <mergeCell ref="C16:D16"/>
    <mergeCell ref="A10:B10"/>
    <mergeCell ref="A11:B11"/>
    <mergeCell ref="C11:D11"/>
    <mergeCell ref="A12:B12"/>
    <mergeCell ref="C12:D12"/>
    <mergeCell ref="A13:B13"/>
    <mergeCell ref="C13:D13"/>
    <mergeCell ref="A8:B9"/>
    <mergeCell ref="C8:C9"/>
    <mergeCell ref="D8:D9"/>
    <mergeCell ref="E8:E9"/>
    <mergeCell ref="F8:F9"/>
    <mergeCell ref="G8:G9"/>
    <mergeCell ref="A6:B7"/>
    <mergeCell ref="C6:C7"/>
    <mergeCell ref="D6:D7"/>
    <mergeCell ref="E6:E7"/>
    <mergeCell ref="F6:F7"/>
    <mergeCell ref="G6:G7"/>
    <mergeCell ref="A4:B5"/>
    <mergeCell ref="C4:C5"/>
    <mergeCell ref="D4:D5"/>
    <mergeCell ref="E4:E5"/>
    <mergeCell ref="F4:F5"/>
    <mergeCell ref="G4:G5"/>
    <mergeCell ref="A1:G1"/>
    <mergeCell ref="A2:B3"/>
    <mergeCell ref="C2:C3"/>
    <mergeCell ref="D2:D3"/>
    <mergeCell ref="E2:E3"/>
    <mergeCell ref="F2:F3"/>
    <mergeCell ref="G2:G3"/>
  </mergeCells>
  <printOptions/>
  <pageMargins left="0.39375" right="0.39375" top="0.5909722222222222" bottom="0.5909722222222222" header="0.5118110236220472" footer="0.5118110236220472"/>
  <pageSetup fitToHeight="0"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BW286"/>
  <sheetViews>
    <sheetView showOutlineSymbols="0" zoomScale="90" zoomScaleNormal="90" zoomScalePageLayoutView="0" workbookViewId="0" topLeftCell="A1">
      <pane ySplit="11" topLeftCell="A254" activePane="bottomLeft" state="frozen"/>
      <selection pane="topLeft" activeCell="A1" sqref="A1"/>
      <selection pane="bottomLeft" activeCell="G273" sqref="G273"/>
    </sheetView>
  </sheetViews>
  <sheetFormatPr defaultColWidth="14.16015625" defaultRowHeight="15" customHeight="1"/>
  <cols>
    <col min="1" max="1" width="4.66015625" style="1" customWidth="1"/>
    <col min="2" max="2" width="20.83203125" style="1" customWidth="1"/>
    <col min="3" max="3" width="40" style="1" customWidth="1"/>
    <col min="4" max="4" width="41.66015625" style="1" customWidth="1"/>
    <col min="5" max="5" width="7.83203125" style="1" customWidth="1"/>
    <col min="6" max="6" width="15" style="1" customWidth="1"/>
    <col min="7" max="7" width="14.83203125" style="1" customWidth="1"/>
    <col min="8" max="10" width="18.33203125" style="1" customWidth="1"/>
    <col min="11" max="11" width="15.66015625" style="1" customWidth="1"/>
    <col min="12" max="24" width="14.16015625" style="0" customWidth="1"/>
    <col min="25" max="75" width="14.16015625" style="1" hidden="1" customWidth="1"/>
  </cols>
  <sheetData>
    <row r="1" spans="1:47" ht="33.75" customHeight="1">
      <c r="A1" s="256" t="s">
        <v>129</v>
      </c>
      <c r="B1" s="256"/>
      <c r="C1" s="256"/>
      <c r="D1" s="256"/>
      <c r="E1" s="256"/>
      <c r="F1" s="256"/>
      <c r="G1" s="256"/>
      <c r="H1" s="256"/>
      <c r="I1" s="256"/>
      <c r="J1" s="256"/>
      <c r="K1" s="256"/>
      <c r="AS1" s="30">
        <f>SUM(AJ1:AJ2)</f>
        <v>0</v>
      </c>
      <c r="AT1" s="30">
        <f>SUM(AK1:AK2)</f>
        <v>0</v>
      </c>
      <c r="AU1" s="30">
        <f>SUM(AL1:AL2)</f>
        <v>0</v>
      </c>
    </row>
    <row r="2" spans="1:11" ht="15" customHeight="1">
      <c r="A2" s="224" t="s">
        <v>1</v>
      </c>
      <c r="B2" s="224"/>
      <c r="C2" s="225" t="s">
        <v>130</v>
      </c>
      <c r="D2" s="225"/>
      <c r="E2" s="257" t="s">
        <v>57</v>
      </c>
      <c r="F2" s="257"/>
      <c r="G2" s="257" t="s">
        <v>58</v>
      </c>
      <c r="H2" s="226" t="s">
        <v>2</v>
      </c>
      <c r="I2" s="258" t="s">
        <v>131</v>
      </c>
      <c r="J2" s="258"/>
      <c r="K2" s="258"/>
    </row>
    <row r="3" spans="1:11" ht="15" customHeight="1">
      <c r="A3" s="224"/>
      <c r="B3" s="224"/>
      <c r="C3" s="225"/>
      <c r="D3" s="225"/>
      <c r="E3" s="257"/>
      <c r="F3" s="257"/>
      <c r="G3" s="257"/>
      <c r="H3" s="257"/>
      <c r="I3" s="257"/>
      <c r="J3" s="258"/>
      <c r="K3" s="258"/>
    </row>
    <row r="4" spans="1:11" ht="15" customHeight="1">
      <c r="A4" s="228" t="s">
        <v>4</v>
      </c>
      <c r="B4" s="228"/>
      <c r="C4" s="229" t="s">
        <v>132</v>
      </c>
      <c r="D4" s="229"/>
      <c r="E4" s="231" t="s">
        <v>8</v>
      </c>
      <c r="F4" s="231"/>
      <c r="G4" s="231" t="s">
        <v>59</v>
      </c>
      <c r="H4" s="229" t="s">
        <v>5</v>
      </c>
      <c r="I4" s="259" t="s">
        <v>133</v>
      </c>
      <c r="J4" s="259"/>
      <c r="K4" s="259"/>
    </row>
    <row r="5" spans="1:11" ht="15" customHeight="1">
      <c r="A5" s="228"/>
      <c r="B5" s="228"/>
      <c r="C5" s="229"/>
      <c r="D5" s="229"/>
      <c r="E5" s="231"/>
      <c r="F5" s="231"/>
      <c r="G5" s="231"/>
      <c r="H5" s="231"/>
      <c r="I5" s="231"/>
      <c r="J5" s="259"/>
      <c r="K5" s="259"/>
    </row>
    <row r="6" spans="1:11" ht="15" customHeight="1">
      <c r="A6" s="228" t="s">
        <v>6</v>
      </c>
      <c r="B6" s="228"/>
      <c r="C6" s="229" t="s">
        <v>134</v>
      </c>
      <c r="D6" s="229"/>
      <c r="E6" s="231" t="s">
        <v>9</v>
      </c>
      <c r="F6" s="231"/>
      <c r="G6" s="231" t="s">
        <v>58</v>
      </c>
      <c r="H6" s="229" t="s">
        <v>7</v>
      </c>
      <c r="I6" s="259" t="s">
        <v>135</v>
      </c>
      <c r="J6" s="259"/>
      <c r="K6" s="259"/>
    </row>
    <row r="7" spans="1:11" ht="15" customHeight="1">
      <c r="A7" s="228"/>
      <c r="B7" s="228"/>
      <c r="C7" s="229"/>
      <c r="D7" s="229"/>
      <c r="E7" s="231"/>
      <c r="F7" s="231"/>
      <c r="G7" s="231"/>
      <c r="H7" s="231"/>
      <c r="I7" s="231"/>
      <c r="J7" s="259"/>
      <c r="K7" s="259"/>
    </row>
    <row r="8" spans="1:11" ht="15" customHeight="1">
      <c r="A8" s="228" t="s">
        <v>11</v>
      </c>
      <c r="B8" s="228"/>
      <c r="C8" s="229" t="s">
        <v>58</v>
      </c>
      <c r="D8" s="229"/>
      <c r="E8" s="231" t="s">
        <v>60</v>
      </c>
      <c r="F8" s="231"/>
      <c r="G8" s="231" t="s">
        <v>59</v>
      </c>
      <c r="H8" s="229" t="s">
        <v>12</v>
      </c>
      <c r="I8" s="259" t="s">
        <v>136</v>
      </c>
      <c r="J8" s="259"/>
      <c r="K8" s="259"/>
    </row>
    <row r="9" spans="1:11" ht="15" customHeight="1">
      <c r="A9" s="228"/>
      <c r="B9" s="228"/>
      <c r="C9" s="229"/>
      <c r="D9" s="229"/>
      <c r="E9" s="231"/>
      <c r="F9" s="231"/>
      <c r="G9" s="231"/>
      <c r="H9" s="231"/>
      <c r="I9" s="231"/>
      <c r="J9" s="259"/>
      <c r="K9" s="259"/>
    </row>
    <row r="10" spans="1:75" ht="15" customHeight="1">
      <c r="A10" s="31" t="s">
        <v>137</v>
      </c>
      <c r="B10" s="18" t="s">
        <v>61</v>
      </c>
      <c r="C10" s="264" t="s">
        <v>62</v>
      </c>
      <c r="D10" s="264"/>
      <c r="E10" s="18" t="s">
        <v>138</v>
      </c>
      <c r="F10" s="32" t="s">
        <v>139</v>
      </c>
      <c r="G10" s="33" t="s">
        <v>140</v>
      </c>
      <c r="H10" s="265" t="s">
        <v>141</v>
      </c>
      <c r="I10" s="265"/>
      <c r="J10" s="265"/>
      <c r="K10" s="32" t="s">
        <v>142</v>
      </c>
      <c r="BK10" s="34" t="s">
        <v>143</v>
      </c>
      <c r="BL10" s="35" t="s">
        <v>144</v>
      </c>
      <c r="BW10" s="35" t="s">
        <v>145</v>
      </c>
    </row>
    <row r="11" spans="1:62" ht="15" customHeight="1">
      <c r="A11" s="36" t="s">
        <v>58</v>
      </c>
      <c r="B11" s="37" t="s">
        <v>58</v>
      </c>
      <c r="C11" s="266" t="s">
        <v>146</v>
      </c>
      <c r="D11" s="266"/>
      <c r="E11" s="37" t="s">
        <v>58</v>
      </c>
      <c r="F11" s="37" t="s">
        <v>58</v>
      </c>
      <c r="G11" s="38" t="s">
        <v>147</v>
      </c>
      <c r="H11" s="39" t="s">
        <v>148</v>
      </c>
      <c r="I11" s="40" t="s">
        <v>25</v>
      </c>
      <c r="J11" s="41" t="s">
        <v>149</v>
      </c>
      <c r="K11" s="40" t="s">
        <v>150</v>
      </c>
      <c r="Z11" s="34" t="s">
        <v>151</v>
      </c>
      <c r="AA11" s="34" t="s">
        <v>152</v>
      </c>
      <c r="AB11" s="34" t="s">
        <v>153</v>
      </c>
      <c r="AC11" s="34" t="s">
        <v>154</v>
      </c>
      <c r="AD11" s="34" t="s">
        <v>155</v>
      </c>
      <c r="AE11" s="34" t="s">
        <v>156</v>
      </c>
      <c r="AF11" s="34" t="s">
        <v>157</v>
      </c>
      <c r="AG11" s="34" t="s">
        <v>158</v>
      </c>
      <c r="AH11" s="34" t="s">
        <v>159</v>
      </c>
      <c r="BH11" s="34" t="s">
        <v>160</v>
      </c>
      <c r="BI11" s="34" t="s">
        <v>161</v>
      </c>
      <c r="BJ11" s="34" t="s">
        <v>162</v>
      </c>
    </row>
    <row r="12" spans="1:47" ht="15" customHeight="1">
      <c r="A12" s="42"/>
      <c r="B12" s="43" t="s">
        <v>66</v>
      </c>
      <c r="C12" s="267" t="s">
        <v>67</v>
      </c>
      <c r="D12" s="267"/>
      <c r="E12" s="44" t="s">
        <v>58</v>
      </c>
      <c r="F12" s="44" t="s">
        <v>58</v>
      </c>
      <c r="G12" s="44" t="s">
        <v>58</v>
      </c>
      <c r="H12" s="30">
        <f>SUM(H13:H17)</f>
        <v>0</v>
      </c>
      <c r="I12" s="30">
        <f>SUM(I13:I17)</f>
        <v>0</v>
      </c>
      <c r="J12" s="30">
        <f>SUM(J13:J17)</f>
        <v>0</v>
      </c>
      <c r="K12" s="45"/>
      <c r="AI12" s="34"/>
      <c r="AS12" s="30">
        <f>SUM(AJ13:AJ17)</f>
        <v>0</v>
      </c>
      <c r="AT12" s="30">
        <f>SUM(AK13:AK17)</f>
        <v>0</v>
      </c>
      <c r="AU12" s="30">
        <f>SUM(AL13:AL17)</f>
        <v>0</v>
      </c>
    </row>
    <row r="13" spans="1:75" ht="13.5" customHeight="1">
      <c r="A13" s="21" t="s">
        <v>163</v>
      </c>
      <c r="B13" s="3" t="s">
        <v>164</v>
      </c>
      <c r="C13" s="229" t="s">
        <v>165</v>
      </c>
      <c r="D13" s="229"/>
      <c r="E13" s="3" t="s">
        <v>166</v>
      </c>
      <c r="F13" s="22">
        <v>0.76545</v>
      </c>
      <c r="G13" s="22">
        <v>0</v>
      </c>
      <c r="H13" s="22">
        <f>F13*AO13</f>
        <v>0</v>
      </c>
      <c r="I13" s="22">
        <f>F13*AP13</f>
        <v>0</v>
      </c>
      <c r="J13" s="22">
        <f>F13*G13</f>
        <v>0</v>
      </c>
      <c r="K13" s="46" t="s">
        <v>167</v>
      </c>
      <c r="Z13" s="22">
        <f>IF(AQ13="5",BJ13,0)</f>
        <v>0</v>
      </c>
      <c r="AB13" s="22">
        <f>IF(AQ13="1",BH13,0)</f>
        <v>0</v>
      </c>
      <c r="AC13" s="22">
        <f>IF(AQ13="1",BI13,0)</f>
        <v>0</v>
      </c>
      <c r="AD13" s="22">
        <f>IF(AQ13="7",BH13,0)</f>
        <v>0</v>
      </c>
      <c r="AE13" s="22">
        <f>IF(AQ13="7",BI13,0)</f>
        <v>0</v>
      </c>
      <c r="AF13" s="22">
        <f>IF(AQ13="2",BH13,0)</f>
        <v>0</v>
      </c>
      <c r="AG13" s="22">
        <f>IF(AQ13="2",BI13,0)</f>
        <v>0</v>
      </c>
      <c r="AH13" s="22">
        <f>IF(AQ13="0",BJ13,0)</f>
        <v>0</v>
      </c>
      <c r="AI13" s="34"/>
      <c r="AJ13" s="22">
        <f>IF(AN13=0,J13,0)</f>
        <v>0</v>
      </c>
      <c r="AK13" s="22">
        <f>IF(AN13=15,J13,0)</f>
        <v>0</v>
      </c>
      <c r="AL13" s="22">
        <f>IF(AN13=21,J13,0)</f>
        <v>0</v>
      </c>
      <c r="AN13" s="22">
        <v>21</v>
      </c>
      <c r="AO13" s="22">
        <f>G13*0</f>
        <v>0</v>
      </c>
      <c r="AP13" s="22">
        <f>G13*(1-0)</f>
        <v>0</v>
      </c>
      <c r="AQ13" s="23" t="s">
        <v>163</v>
      </c>
      <c r="AV13" s="22">
        <f>AW13+AX13</f>
        <v>0</v>
      </c>
      <c r="AW13" s="22">
        <f>F13*AO13</f>
        <v>0</v>
      </c>
      <c r="AX13" s="22">
        <f>F13*AP13</f>
        <v>0</v>
      </c>
      <c r="AY13" s="23" t="s">
        <v>168</v>
      </c>
      <c r="AZ13" s="23" t="s">
        <v>169</v>
      </c>
      <c r="BA13" s="34" t="s">
        <v>170</v>
      </c>
      <c r="BC13" s="22">
        <f>AW13+AX13</f>
        <v>0</v>
      </c>
      <c r="BD13" s="22">
        <f>G13/(100-BE13)*100</f>
        <v>0</v>
      </c>
      <c r="BE13" s="22">
        <v>0</v>
      </c>
      <c r="BF13" s="22">
        <f>13</f>
        <v>13</v>
      </c>
      <c r="BH13" s="22">
        <f>F13*AO13</f>
        <v>0</v>
      </c>
      <c r="BI13" s="22">
        <f>F13*AP13</f>
        <v>0</v>
      </c>
      <c r="BJ13" s="22">
        <f>F13*G13</f>
        <v>0</v>
      </c>
      <c r="BK13" s="22"/>
      <c r="BL13" s="22">
        <v>13</v>
      </c>
      <c r="BW13" s="22">
        <v>21</v>
      </c>
    </row>
    <row r="14" spans="1:11" ht="15" customHeight="1">
      <c r="A14" s="47"/>
      <c r="C14" s="48" t="s">
        <v>171</v>
      </c>
      <c r="D14" s="48" t="s">
        <v>172</v>
      </c>
      <c r="F14" s="49">
        <v>0.7654500000000001</v>
      </c>
      <c r="K14" s="50"/>
    </row>
    <row r="15" spans="1:11" ht="15" customHeight="1">
      <c r="A15" s="47"/>
      <c r="C15" s="48" t="s">
        <v>173</v>
      </c>
      <c r="D15" s="48" t="s">
        <v>174</v>
      </c>
      <c r="F15" s="49">
        <v>0</v>
      </c>
      <c r="K15" s="50"/>
    </row>
    <row r="16" spans="1:11" ht="13.5" customHeight="1">
      <c r="A16" s="47"/>
      <c r="B16" s="51" t="s">
        <v>175</v>
      </c>
      <c r="C16" s="268" t="s">
        <v>176</v>
      </c>
      <c r="D16" s="268"/>
      <c r="E16" s="268"/>
      <c r="F16" s="268"/>
      <c r="G16" s="268"/>
      <c r="H16" s="268"/>
      <c r="I16" s="268"/>
      <c r="J16" s="268"/>
      <c r="K16" s="268"/>
    </row>
    <row r="17" spans="1:75" ht="13.5" customHeight="1">
      <c r="A17" s="21" t="s">
        <v>177</v>
      </c>
      <c r="B17" s="3" t="s">
        <v>178</v>
      </c>
      <c r="C17" s="229" t="s">
        <v>179</v>
      </c>
      <c r="D17" s="229"/>
      <c r="E17" s="3" t="s">
        <v>166</v>
      </c>
      <c r="F17" s="22">
        <v>0.232</v>
      </c>
      <c r="G17" s="22">
        <v>0</v>
      </c>
      <c r="H17" s="22">
        <f>F17*AO17</f>
        <v>0</v>
      </c>
      <c r="I17" s="22">
        <f>F17*AP17</f>
        <v>0</v>
      </c>
      <c r="J17" s="22">
        <f>F17*G17</f>
        <v>0</v>
      </c>
      <c r="K17" s="46" t="s">
        <v>167</v>
      </c>
      <c r="Z17" s="22">
        <f>IF(AQ17="5",BJ17,0)</f>
        <v>0</v>
      </c>
      <c r="AB17" s="22">
        <f>IF(AQ17="1",BH17,0)</f>
        <v>0</v>
      </c>
      <c r="AC17" s="22">
        <f>IF(AQ17="1",BI17,0)</f>
        <v>0</v>
      </c>
      <c r="AD17" s="22">
        <f>IF(AQ17="7",BH17,0)</f>
        <v>0</v>
      </c>
      <c r="AE17" s="22">
        <f>IF(AQ17="7",BI17,0)</f>
        <v>0</v>
      </c>
      <c r="AF17" s="22">
        <f>IF(AQ17="2",BH17,0)</f>
        <v>0</v>
      </c>
      <c r="AG17" s="22">
        <f>IF(AQ17="2",BI17,0)</f>
        <v>0</v>
      </c>
      <c r="AH17" s="22">
        <f>IF(AQ17="0",BJ17,0)</f>
        <v>0</v>
      </c>
      <c r="AI17" s="34"/>
      <c r="AJ17" s="22">
        <f>IF(AN17=0,J17,0)</f>
        <v>0</v>
      </c>
      <c r="AK17" s="22">
        <f>IF(AN17=15,J17,0)</f>
        <v>0</v>
      </c>
      <c r="AL17" s="22">
        <f>IF(AN17=21,J17,0)</f>
        <v>0</v>
      </c>
      <c r="AN17" s="22">
        <v>21</v>
      </c>
      <c r="AO17" s="22">
        <f>G17*0</f>
        <v>0</v>
      </c>
      <c r="AP17" s="22">
        <f>G17*(1-0)</f>
        <v>0</v>
      </c>
      <c r="AQ17" s="23" t="s">
        <v>163</v>
      </c>
      <c r="AV17" s="22">
        <f>AW17+AX17</f>
        <v>0</v>
      </c>
      <c r="AW17" s="22">
        <f>F17*AO17</f>
        <v>0</v>
      </c>
      <c r="AX17" s="22">
        <f>F17*AP17</f>
        <v>0</v>
      </c>
      <c r="AY17" s="23" t="s">
        <v>168</v>
      </c>
      <c r="AZ17" s="23" t="s">
        <v>169</v>
      </c>
      <c r="BA17" s="34" t="s">
        <v>170</v>
      </c>
      <c r="BC17" s="22">
        <f>AW17+AX17</f>
        <v>0</v>
      </c>
      <c r="BD17" s="22">
        <f>G17/(100-BE17)*100</f>
        <v>0</v>
      </c>
      <c r="BE17" s="22">
        <v>0</v>
      </c>
      <c r="BF17" s="22">
        <f>17</f>
        <v>17</v>
      </c>
      <c r="BH17" s="22">
        <f>F17*AO17</f>
        <v>0</v>
      </c>
      <c r="BI17" s="22">
        <f>F17*AP17</f>
        <v>0</v>
      </c>
      <c r="BJ17" s="22">
        <f>F17*G17</f>
        <v>0</v>
      </c>
      <c r="BK17" s="22"/>
      <c r="BL17" s="22">
        <v>13</v>
      </c>
      <c r="BW17" s="22">
        <v>21</v>
      </c>
    </row>
    <row r="18" spans="1:11" ht="15" customHeight="1">
      <c r="A18" s="47"/>
      <c r="C18" s="48" t="s">
        <v>180</v>
      </c>
      <c r="D18" s="48"/>
      <c r="F18" s="49">
        <v>0.232</v>
      </c>
      <c r="K18" s="50"/>
    </row>
    <row r="19" spans="1:11" ht="13.5" customHeight="1">
      <c r="A19" s="47"/>
      <c r="B19" s="51" t="s">
        <v>175</v>
      </c>
      <c r="C19" s="268" t="s">
        <v>181</v>
      </c>
      <c r="D19" s="268"/>
      <c r="E19" s="268"/>
      <c r="F19" s="268"/>
      <c r="G19" s="268"/>
      <c r="H19" s="268"/>
      <c r="I19" s="268"/>
      <c r="J19" s="268"/>
      <c r="K19" s="268"/>
    </row>
    <row r="20" spans="1:47" ht="15" customHeight="1">
      <c r="A20" s="42"/>
      <c r="B20" s="43" t="s">
        <v>69</v>
      </c>
      <c r="C20" s="267" t="s">
        <v>70</v>
      </c>
      <c r="D20" s="267"/>
      <c r="E20" s="44" t="s">
        <v>58</v>
      </c>
      <c r="F20" s="44" t="s">
        <v>58</v>
      </c>
      <c r="G20" s="44" t="s">
        <v>58</v>
      </c>
      <c r="H20" s="30">
        <f>SUM(H21:H21)</f>
        <v>0</v>
      </c>
      <c r="I20" s="30">
        <f>SUM(I21:I21)</f>
        <v>0</v>
      </c>
      <c r="J20" s="30">
        <f>SUM(J21:J21)</f>
        <v>0</v>
      </c>
      <c r="K20" s="45"/>
      <c r="AI20" s="34"/>
      <c r="AS20" s="30">
        <f>SUM(AJ21:AJ21)</f>
        <v>0</v>
      </c>
      <c r="AT20" s="30">
        <f>SUM(AK21:AK21)</f>
        <v>0</v>
      </c>
      <c r="AU20" s="30">
        <f>SUM(AL21:AL21)</f>
        <v>0</v>
      </c>
    </row>
    <row r="21" spans="1:75" ht="13.5" customHeight="1">
      <c r="A21" s="21" t="s">
        <v>182</v>
      </c>
      <c r="B21" s="3" t="s">
        <v>183</v>
      </c>
      <c r="C21" s="229" t="s">
        <v>184</v>
      </c>
      <c r="D21" s="229"/>
      <c r="E21" s="3" t="s">
        <v>166</v>
      </c>
      <c r="F21" s="22">
        <v>0.74675</v>
      </c>
      <c r="G21" s="22">
        <v>0</v>
      </c>
      <c r="H21" s="22">
        <f>F21*AO21</f>
        <v>0</v>
      </c>
      <c r="I21" s="22">
        <f>F21*AP21</f>
        <v>0</v>
      </c>
      <c r="J21" s="22">
        <f>F21*G21</f>
        <v>0</v>
      </c>
      <c r="K21" s="46" t="s">
        <v>167</v>
      </c>
      <c r="Z21" s="22">
        <f>IF(AQ21="5",BJ21,0)</f>
        <v>0</v>
      </c>
      <c r="AB21" s="22">
        <f>IF(AQ21="1",BH21,0)</f>
        <v>0</v>
      </c>
      <c r="AC21" s="22">
        <f>IF(AQ21="1",BI21,0)</f>
        <v>0</v>
      </c>
      <c r="AD21" s="22">
        <f>IF(AQ21="7",BH21,0)</f>
        <v>0</v>
      </c>
      <c r="AE21" s="22">
        <f>IF(AQ21="7",BI21,0)</f>
        <v>0</v>
      </c>
      <c r="AF21" s="22">
        <f>IF(AQ21="2",BH21,0)</f>
        <v>0</v>
      </c>
      <c r="AG21" s="22">
        <f>IF(AQ21="2",BI21,0)</f>
        <v>0</v>
      </c>
      <c r="AH21" s="22">
        <f>IF(AQ21="0",BJ21,0)</f>
        <v>0</v>
      </c>
      <c r="AI21" s="34"/>
      <c r="AJ21" s="22">
        <f>IF(AN21=0,J21,0)</f>
        <v>0</v>
      </c>
      <c r="AK21" s="22">
        <f>IF(AN21=15,J21,0)</f>
        <v>0</v>
      </c>
      <c r="AL21" s="22">
        <f>IF(AN21=21,J21,0)</f>
        <v>0</v>
      </c>
      <c r="AN21" s="22">
        <v>21</v>
      </c>
      <c r="AO21" s="22">
        <f>G21*0.61497216105412</f>
        <v>0</v>
      </c>
      <c r="AP21" s="22">
        <f>G21*(1-0.61497216105412)</f>
        <v>0</v>
      </c>
      <c r="AQ21" s="23" t="s">
        <v>163</v>
      </c>
      <c r="AV21" s="22">
        <f>AW21+AX21</f>
        <v>0</v>
      </c>
      <c r="AW21" s="22">
        <f>F21*AO21</f>
        <v>0</v>
      </c>
      <c r="AX21" s="22">
        <f>F21*AP21</f>
        <v>0</v>
      </c>
      <c r="AY21" s="23" t="s">
        <v>185</v>
      </c>
      <c r="AZ21" s="23" t="s">
        <v>169</v>
      </c>
      <c r="BA21" s="34" t="s">
        <v>170</v>
      </c>
      <c r="BC21" s="22">
        <f>AW21+AX21</f>
        <v>0</v>
      </c>
      <c r="BD21" s="22">
        <f>G21/(100-BE21)*100</f>
        <v>0</v>
      </c>
      <c r="BE21" s="22">
        <v>0</v>
      </c>
      <c r="BF21" s="22">
        <f>21</f>
        <v>21</v>
      </c>
      <c r="BH21" s="22">
        <f>F21*AO21</f>
        <v>0</v>
      </c>
      <c r="BI21" s="22">
        <f>F21*AP21</f>
        <v>0</v>
      </c>
      <c r="BJ21" s="22">
        <f>F21*G21</f>
        <v>0</v>
      </c>
      <c r="BK21" s="22"/>
      <c r="BL21" s="22">
        <v>17</v>
      </c>
      <c r="BW21" s="22">
        <v>21</v>
      </c>
    </row>
    <row r="22" spans="1:11" ht="15" customHeight="1">
      <c r="A22" s="47"/>
      <c r="C22" s="48" t="s">
        <v>186</v>
      </c>
      <c r="D22" s="48" t="s">
        <v>187</v>
      </c>
      <c r="F22" s="49">
        <v>0.41715</v>
      </c>
      <c r="K22" s="50"/>
    </row>
    <row r="23" spans="1:11" ht="15" customHeight="1">
      <c r="A23" s="47"/>
      <c r="C23" s="48" t="s">
        <v>188</v>
      </c>
      <c r="D23" s="48"/>
      <c r="F23" s="49">
        <v>0.3296</v>
      </c>
      <c r="K23" s="50"/>
    </row>
    <row r="24" spans="1:11" ht="27" customHeight="1">
      <c r="A24" s="47"/>
      <c r="B24" s="51" t="s">
        <v>175</v>
      </c>
      <c r="C24" s="268" t="s">
        <v>189</v>
      </c>
      <c r="D24" s="268"/>
      <c r="E24" s="268"/>
      <c r="F24" s="268"/>
      <c r="G24" s="268"/>
      <c r="H24" s="268"/>
      <c r="I24" s="268"/>
      <c r="J24" s="268"/>
      <c r="K24" s="268"/>
    </row>
    <row r="25" spans="1:47" ht="15" customHeight="1">
      <c r="A25" s="42"/>
      <c r="B25" s="43" t="s">
        <v>71</v>
      </c>
      <c r="C25" s="267" t="s">
        <v>72</v>
      </c>
      <c r="D25" s="267"/>
      <c r="E25" s="44" t="s">
        <v>58</v>
      </c>
      <c r="F25" s="44" t="s">
        <v>58</v>
      </c>
      <c r="G25" s="44" t="s">
        <v>58</v>
      </c>
      <c r="H25" s="30">
        <f>SUM(H26:H26)</f>
        <v>0</v>
      </c>
      <c r="I25" s="30">
        <f>SUM(I26:I26)</f>
        <v>0</v>
      </c>
      <c r="J25" s="30">
        <f>SUM(J26:J26)</f>
        <v>0</v>
      </c>
      <c r="K25" s="45"/>
      <c r="AI25" s="34"/>
      <c r="AS25" s="30">
        <f>SUM(AJ26:AJ26)</f>
        <v>0</v>
      </c>
      <c r="AT25" s="30">
        <f>SUM(AK26:AK26)</f>
        <v>0</v>
      </c>
      <c r="AU25" s="30">
        <f>SUM(AL26:AL26)</f>
        <v>0</v>
      </c>
    </row>
    <row r="26" spans="1:75" ht="13.5" customHeight="1">
      <c r="A26" s="21" t="s">
        <v>190</v>
      </c>
      <c r="B26" s="3" t="s">
        <v>191</v>
      </c>
      <c r="C26" s="229" t="s">
        <v>192</v>
      </c>
      <c r="D26" s="229"/>
      <c r="E26" s="3" t="s">
        <v>166</v>
      </c>
      <c r="F26" s="22">
        <v>1</v>
      </c>
      <c r="G26" s="22">
        <v>0</v>
      </c>
      <c r="H26" s="22">
        <f>F26*AO26</f>
        <v>0</v>
      </c>
      <c r="I26" s="22">
        <f>F26*AP26</f>
        <v>0</v>
      </c>
      <c r="J26" s="22">
        <f>F26*G26</f>
        <v>0</v>
      </c>
      <c r="K26" s="46" t="s">
        <v>167</v>
      </c>
      <c r="Z26" s="22">
        <f>IF(AQ26="5",BJ26,0)</f>
        <v>0</v>
      </c>
      <c r="AB26" s="22">
        <f>IF(AQ26="1",BH26,0)</f>
        <v>0</v>
      </c>
      <c r="AC26" s="22">
        <f>IF(AQ26="1",BI26,0)</f>
        <v>0</v>
      </c>
      <c r="AD26" s="22">
        <f>IF(AQ26="7",BH26,0)</f>
        <v>0</v>
      </c>
      <c r="AE26" s="22">
        <f>IF(AQ26="7",BI26,0)</f>
        <v>0</v>
      </c>
      <c r="AF26" s="22">
        <f>IF(AQ26="2",BH26,0)</f>
        <v>0</v>
      </c>
      <c r="AG26" s="22">
        <f>IF(AQ26="2",BI26,0)</f>
        <v>0</v>
      </c>
      <c r="AH26" s="22">
        <f>IF(AQ26="0",BJ26,0)</f>
        <v>0</v>
      </c>
      <c r="AI26" s="34"/>
      <c r="AJ26" s="22">
        <f>IF(AN26=0,J26,0)</f>
        <v>0</v>
      </c>
      <c r="AK26" s="22">
        <f>IF(AN26=15,J26,0)</f>
        <v>0</v>
      </c>
      <c r="AL26" s="22">
        <f>IF(AN26=21,J26,0)</f>
        <v>0</v>
      </c>
      <c r="AN26" s="22">
        <v>21</v>
      </c>
      <c r="AO26" s="22">
        <f>G26*0</f>
        <v>0</v>
      </c>
      <c r="AP26" s="22">
        <f>G26*(1-0)</f>
        <v>0</v>
      </c>
      <c r="AQ26" s="23" t="s">
        <v>163</v>
      </c>
      <c r="AV26" s="22">
        <f>AW26+AX26</f>
        <v>0</v>
      </c>
      <c r="AW26" s="22">
        <f>F26*AO26</f>
        <v>0</v>
      </c>
      <c r="AX26" s="22">
        <f>F26*AP26</f>
        <v>0</v>
      </c>
      <c r="AY26" s="23" t="s">
        <v>193</v>
      </c>
      <c r="AZ26" s="23" t="s">
        <v>169</v>
      </c>
      <c r="BA26" s="34" t="s">
        <v>170</v>
      </c>
      <c r="BC26" s="22">
        <f>AW26+AX26</f>
        <v>0</v>
      </c>
      <c r="BD26" s="22">
        <f>G26/(100-BE26)*100</f>
        <v>0</v>
      </c>
      <c r="BE26" s="22">
        <v>0</v>
      </c>
      <c r="BF26" s="22">
        <f>26</f>
        <v>26</v>
      </c>
      <c r="BH26" s="22">
        <f>F26*AO26</f>
        <v>0</v>
      </c>
      <c r="BI26" s="22">
        <f>F26*AP26</f>
        <v>0</v>
      </c>
      <c r="BJ26" s="22">
        <f>F26*G26</f>
        <v>0</v>
      </c>
      <c r="BK26" s="22"/>
      <c r="BL26" s="22">
        <v>19</v>
      </c>
      <c r="BW26" s="22">
        <v>21</v>
      </c>
    </row>
    <row r="27" spans="1:11" ht="15" customHeight="1">
      <c r="A27" s="47"/>
      <c r="C27" s="48" t="s">
        <v>163</v>
      </c>
      <c r="D27" s="48"/>
      <c r="F27" s="49">
        <v>1</v>
      </c>
      <c r="K27" s="50"/>
    </row>
    <row r="28" spans="1:47" ht="15" customHeight="1">
      <c r="A28" s="42"/>
      <c r="B28" s="43" t="s">
        <v>73</v>
      </c>
      <c r="C28" s="267" t="s">
        <v>74</v>
      </c>
      <c r="D28" s="267"/>
      <c r="E28" s="44" t="s">
        <v>58</v>
      </c>
      <c r="F28" s="44" t="s">
        <v>58</v>
      </c>
      <c r="G28" s="44" t="s">
        <v>58</v>
      </c>
      <c r="H28" s="30">
        <f>SUM(H29:H29)</f>
        <v>0</v>
      </c>
      <c r="I28" s="30">
        <f>SUM(I29:I29)</f>
        <v>0</v>
      </c>
      <c r="J28" s="30">
        <f>SUM(J29:J29)</f>
        <v>0</v>
      </c>
      <c r="K28" s="45"/>
      <c r="AI28" s="34"/>
      <c r="AS28" s="30">
        <f>SUM(AJ29:AJ29)</f>
        <v>0</v>
      </c>
      <c r="AT28" s="30">
        <f>SUM(AK29:AK29)</f>
        <v>0</v>
      </c>
      <c r="AU28" s="30">
        <f>SUM(AL29:AL29)</f>
        <v>0</v>
      </c>
    </row>
    <row r="29" spans="1:75" ht="13.5" customHeight="1">
      <c r="A29" s="21" t="s">
        <v>194</v>
      </c>
      <c r="B29" s="3" t="s">
        <v>195</v>
      </c>
      <c r="C29" s="229" t="s">
        <v>196</v>
      </c>
      <c r="D29" s="229"/>
      <c r="E29" s="3" t="s">
        <v>166</v>
      </c>
      <c r="F29" s="22">
        <v>0.82</v>
      </c>
      <c r="G29" s="22">
        <v>0</v>
      </c>
      <c r="H29" s="22">
        <f>F29*AO29</f>
        <v>0</v>
      </c>
      <c r="I29" s="22">
        <f>F29*AP29</f>
        <v>0</v>
      </c>
      <c r="J29" s="22">
        <f>F29*G29</f>
        <v>0</v>
      </c>
      <c r="K29" s="46" t="s">
        <v>167</v>
      </c>
      <c r="Z29" s="22">
        <f>IF(AQ29="5",BJ29,0)</f>
        <v>0</v>
      </c>
      <c r="AB29" s="22">
        <f>IF(AQ29="1",BH29,0)</f>
        <v>0</v>
      </c>
      <c r="AC29" s="22">
        <f>IF(AQ29="1",BI29,0)</f>
        <v>0</v>
      </c>
      <c r="AD29" s="22">
        <f>IF(AQ29="7",BH29,0)</f>
        <v>0</v>
      </c>
      <c r="AE29" s="22">
        <f>IF(AQ29="7",BI29,0)</f>
        <v>0</v>
      </c>
      <c r="AF29" s="22">
        <f>IF(AQ29="2",BH29,0)</f>
        <v>0</v>
      </c>
      <c r="AG29" s="22">
        <f>IF(AQ29="2",BI29,0)</f>
        <v>0</v>
      </c>
      <c r="AH29" s="22">
        <f>IF(AQ29="0",BJ29,0)</f>
        <v>0</v>
      </c>
      <c r="AI29" s="34"/>
      <c r="AJ29" s="22">
        <f>IF(AN29=0,J29,0)</f>
        <v>0</v>
      </c>
      <c r="AK29" s="22">
        <f>IF(AN29=15,J29,0)</f>
        <v>0</v>
      </c>
      <c r="AL29" s="22">
        <f>IF(AN29=21,J29,0)</f>
        <v>0</v>
      </c>
      <c r="AN29" s="22">
        <v>21</v>
      </c>
      <c r="AO29" s="22">
        <f>G29*0.908998593530239</f>
        <v>0</v>
      </c>
      <c r="AP29" s="22">
        <f>G29*(1-0.908998593530239)</f>
        <v>0</v>
      </c>
      <c r="AQ29" s="23" t="s">
        <v>163</v>
      </c>
      <c r="AV29" s="22">
        <f>AW29+AX29</f>
        <v>0</v>
      </c>
      <c r="AW29" s="22">
        <f>F29*AO29</f>
        <v>0</v>
      </c>
      <c r="AX29" s="22">
        <f>F29*AP29</f>
        <v>0</v>
      </c>
      <c r="AY29" s="23" t="s">
        <v>197</v>
      </c>
      <c r="AZ29" s="23" t="s">
        <v>198</v>
      </c>
      <c r="BA29" s="34" t="s">
        <v>170</v>
      </c>
      <c r="BC29" s="22">
        <f>AW29+AX29</f>
        <v>0</v>
      </c>
      <c r="BD29" s="22">
        <f>G29/(100-BE29)*100</f>
        <v>0</v>
      </c>
      <c r="BE29" s="22">
        <v>0</v>
      </c>
      <c r="BF29" s="22">
        <f>29</f>
        <v>29</v>
      </c>
      <c r="BH29" s="22">
        <f>F29*AO29</f>
        <v>0</v>
      </c>
      <c r="BI29" s="22">
        <f>F29*AP29</f>
        <v>0</v>
      </c>
      <c r="BJ29" s="22">
        <f>F29*G29</f>
        <v>0</v>
      </c>
      <c r="BK29" s="22"/>
      <c r="BL29" s="22">
        <v>27</v>
      </c>
      <c r="BW29" s="22">
        <v>21</v>
      </c>
    </row>
    <row r="30" spans="1:11" ht="15" customHeight="1">
      <c r="A30" s="47"/>
      <c r="C30" s="48" t="s">
        <v>199</v>
      </c>
      <c r="D30" s="48" t="s">
        <v>200</v>
      </c>
      <c r="F30" s="49">
        <v>0.24000000000000002</v>
      </c>
      <c r="K30" s="50"/>
    </row>
    <row r="31" spans="1:11" ht="15" customHeight="1">
      <c r="A31" s="47"/>
      <c r="C31" s="48" t="s">
        <v>201</v>
      </c>
      <c r="D31" s="48"/>
      <c r="F31" s="49">
        <v>0.324</v>
      </c>
      <c r="K31" s="50"/>
    </row>
    <row r="32" spans="1:11" ht="15" customHeight="1">
      <c r="A32" s="47"/>
      <c r="C32" s="48" t="s">
        <v>202</v>
      </c>
      <c r="D32" s="48"/>
      <c r="F32" s="49">
        <v>0.256</v>
      </c>
      <c r="K32" s="50"/>
    </row>
    <row r="33" spans="1:11" ht="13.5" customHeight="1">
      <c r="A33" s="47"/>
      <c r="B33" s="51" t="s">
        <v>175</v>
      </c>
      <c r="C33" s="268" t="s">
        <v>203</v>
      </c>
      <c r="D33" s="268"/>
      <c r="E33" s="268"/>
      <c r="F33" s="268"/>
      <c r="G33" s="268"/>
      <c r="H33" s="268"/>
      <c r="I33" s="268"/>
      <c r="J33" s="268"/>
      <c r="K33" s="268"/>
    </row>
    <row r="34" spans="1:47" ht="15" customHeight="1">
      <c r="A34" s="42"/>
      <c r="B34" s="43" t="s">
        <v>75</v>
      </c>
      <c r="C34" s="267" t="s">
        <v>76</v>
      </c>
      <c r="D34" s="267"/>
      <c r="E34" s="44" t="s">
        <v>58</v>
      </c>
      <c r="F34" s="44" t="s">
        <v>58</v>
      </c>
      <c r="G34" s="44" t="s">
        <v>58</v>
      </c>
      <c r="H34" s="30">
        <f>SUM(H35:H35)</f>
        <v>0</v>
      </c>
      <c r="I34" s="30">
        <f>SUM(I35:I35)</f>
        <v>0</v>
      </c>
      <c r="J34" s="30">
        <f>SUM(J35:J35)</f>
        <v>0</v>
      </c>
      <c r="K34" s="45"/>
      <c r="AI34" s="34"/>
      <c r="AS34" s="30">
        <f>SUM(AJ35:AJ35)</f>
        <v>0</v>
      </c>
      <c r="AT34" s="30">
        <f>SUM(AK35:AK35)</f>
        <v>0</v>
      </c>
      <c r="AU34" s="30">
        <f>SUM(AL35:AL35)</f>
        <v>0</v>
      </c>
    </row>
    <row r="35" spans="1:75" ht="13.5" customHeight="1">
      <c r="A35" s="21" t="s">
        <v>204</v>
      </c>
      <c r="B35" s="3" t="s">
        <v>205</v>
      </c>
      <c r="C35" s="229" t="s">
        <v>206</v>
      </c>
      <c r="D35" s="229"/>
      <c r="E35" s="3" t="s">
        <v>207</v>
      </c>
      <c r="F35" s="22">
        <v>1</v>
      </c>
      <c r="G35" s="22">
        <v>0</v>
      </c>
      <c r="H35" s="22">
        <f>F35*AO35</f>
        <v>0</v>
      </c>
      <c r="I35" s="22">
        <f>F35*AP35</f>
        <v>0</v>
      </c>
      <c r="J35" s="22">
        <f>F35*G35</f>
        <v>0</v>
      </c>
      <c r="K35" s="46" t="s">
        <v>167</v>
      </c>
      <c r="Z35" s="22">
        <f>IF(AQ35="5",BJ35,0)</f>
        <v>0</v>
      </c>
      <c r="AB35" s="22">
        <f>IF(AQ35="1",BH35,0)</f>
        <v>0</v>
      </c>
      <c r="AC35" s="22">
        <f>IF(AQ35="1",BI35,0)</f>
        <v>0</v>
      </c>
      <c r="AD35" s="22">
        <f>IF(AQ35="7",BH35,0)</f>
        <v>0</v>
      </c>
      <c r="AE35" s="22">
        <f>IF(AQ35="7",BI35,0)</f>
        <v>0</v>
      </c>
      <c r="AF35" s="22">
        <f>IF(AQ35="2",BH35,0)</f>
        <v>0</v>
      </c>
      <c r="AG35" s="22">
        <f>IF(AQ35="2",BI35,0)</f>
        <v>0</v>
      </c>
      <c r="AH35" s="22">
        <f>IF(AQ35="0",BJ35,0)</f>
        <v>0</v>
      </c>
      <c r="AI35" s="34"/>
      <c r="AJ35" s="22">
        <f>IF(AN35=0,J35,0)</f>
        <v>0</v>
      </c>
      <c r="AK35" s="22">
        <f>IF(AN35=15,J35,0)</f>
        <v>0</v>
      </c>
      <c r="AL35" s="22">
        <f>IF(AN35=21,J35,0)</f>
        <v>0</v>
      </c>
      <c r="AN35" s="22">
        <v>21</v>
      </c>
      <c r="AO35" s="22">
        <f>G35*0.743529411764706</f>
        <v>0</v>
      </c>
      <c r="AP35" s="22">
        <f>G35*(1-0.743529411764706)</f>
        <v>0</v>
      </c>
      <c r="AQ35" s="23" t="s">
        <v>163</v>
      </c>
      <c r="AV35" s="22">
        <f>AW35+AX35</f>
        <v>0</v>
      </c>
      <c r="AW35" s="22">
        <f>F35*AO35</f>
        <v>0</v>
      </c>
      <c r="AX35" s="22">
        <f>F35*AP35</f>
        <v>0</v>
      </c>
      <c r="AY35" s="23" t="s">
        <v>208</v>
      </c>
      <c r="AZ35" s="23" t="s">
        <v>209</v>
      </c>
      <c r="BA35" s="34" t="s">
        <v>170</v>
      </c>
      <c r="BC35" s="22">
        <f>AW35+AX35</f>
        <v>0</v>
      </c>
      <c r="BD35" s="22">
        <f>G35/(100-BE35)*100</f>
        <v>0</v>
      </c>
      <c r="BE35" s="22">
        <v>0</v>
      </c>
      <c r="BF35" s="22">
        <f>35</f>
        <v>35</v>
      </c>
      <c r="BH35" s="22">
        <f>F35*AO35</f>
        <v>0</v>
      </c>
      <c r="BI35" s="22">
        <f>F35*AP35</f>
        <v>0</v>
      </c>
      <c r="BJ35" s="22">
        <f>F35*G35</f>
        <v>0</v>
      </c>
      <c r="BK35" s="22"/>
      <c r="BL35" s="22">
        <v>31</v>
      </c>
      <c r="BW35" s="22">
        <v>21</v>
      </c>
    </row>
    <row r="36" spans="1:11" ht="15" customHeight="1">
      <c r="A36" s="47"/>
      <c r="C36" s="48" t="s">
        <v>163</v>
      </c>
      <c r="D36" s="48" t="s">
        <v>210</v>
      </c>
      <c r="F36" s="49">
        <v>1</v>
      </c>
      <c r="K36" s="50"/>
    </row>
    <row r="37" spans="1:11" ht="54" customHeight="1">
      <c r="A37" s="47"/>
      <c r="B37" s="51" t="s">
        <v>175</v>
      </c>
      <c r="C37" s="268" t="s">
        <v>211</v>
      </c>
      <c r="D37" s="268"/>
      <c r="E37" s="268"/>
      <c r="F37" s="268"/>
      <c r="G37" s="268"/>
      <c r="H37" s="268"/>
      <c r="I37" s="268"/>
      <c r="J37" s="268"/>
      <c r="K37" s="268"/>
    </row>
    <row r="38" spans="1:47" ht="15" customHeight="1">
      <c r="A38" s="42"/>
      <c r="B38" s="43" t="s">
        <v>77</v>
      </c>
      <c r="C38" s="267" t="s">
        <v>78</v>
      </c>
      <c r="D38" s="267"/>
      <c r="E38" s="44" t="s">
        <v>58</v>
      </c>
      <c r="F38" s="44" t="s">
        <v>58</v>
      </c>
      <c r="G38" s="44" t="s">
        <v>58</v>
      </c>
      <c r="H38" s="30">
        <f>SUM(H39:H41)</f>
        <v>0</v>
      </c>
      <c r="I38" s="30">
        <f>SUM(I39:I41)</f>
        <v>0</v>
      </c>
      <c r="J38" s="30">
        <f>SUM(J39:J41)</f>
        <v>0</v>
      </c>
      <c r="K38" s="45"/>
      <c r="AI38" s="34"/>
      <c r="AS38" s="30">
        <f>SUM(AJ39:AJ41)</f>
        <v>0</v>
      </c>
      <c r="AT38" s="30">
        <f>SUM(AK39:AK41)</f>
        <v>0</v>
      </c>
      <c r="AU38" s="30">
        <f>SUM(AL39:AL41)</f>
        <v>0</v>
      </c>
    </row>
    <row r="39" spans="1:75" ht="13.5" customHeight="1">
      <c r="A39" s="21" t="s">
        <v>212</v>
      </c>
      <c r="B39" s="3" t="s">
        <v>213</v>
      </c>
      <c r="C39" s="229" t="s">
        <v>214</v>
      </c>
      <c r="D39" s="229"/>
      <c r="E39" s="3" t="s">
        <v>215</v>
      </c>
      <c r="F39" s="22">
        <v>11.163</v>
      </c>
      <c r="G39" s="22">
        <v>0</v>
      </c>
      <c r="H39" s="22">
        <f>F39*AO39</f>
        <v>0</v>
      </c>
      <c r="I39" s="22">
        <f>F39*AP39</f>
        <v>0</v>
      </c>
      <c r="J39" s="22">
        <f>F39*G39</f>
        <v>0</v>
      </c>
      <c r="K39" s="46" t="s">
        <v>167</v>
      </c>
      <c r="Z39" s="22">
        <f>IF(AQ39="5",BJ39,0)</f>
        <v>0</v>
      </c>
      <c r="AB39" s="22">
        <f>IF(AQ39="1",BH39,0)</f>
        <v>0</v>
      </c>
      <c r="AC39" s="22">
        <f>IF(AQ39="1",BI39,0)</f>
        <v>0</v>
      </c>
      <c r="AD39" s="22">
        <f>IF(AQ39="7",BH39,0)</f>
        <v>0</v>
      </c>
      <c r="AE39" s="22">
        <f>IF(AQ39="7",BI39,0)</f>
        <v>0</v>
      </c>
      <c r="AF39" s="22">
        <f>IF(AQ39="2",BH39,0)</f>
        <v>0</v>
      </c>
      <c r="AG39" s="22">
        <f>IF(AQ39="2",BI39,0)</f>
        <v>0</v>
      </c>
      <c r="AH39" s="22">
        <f>IF(AQ39="0",BJ39,0)</f>
        <v>0</v>
      </c>
      <c r="AI39" s="34"/>
      <c r="AJ39" s="22">
        <f>IF(AN39=0,J39,0)</f>
        <v>0</v>
      </c>
      <c r="AK39" s="22">
        <f>IF(AN39=15,J39,0)</f>
        <v>0</v>
      </c>
      <c r="AL39" s="22">
        <f>IF(AN39=21,J39,0)</f>
        <v>0</v>
      </c>
      <c r="AN39" s="22">
        <v>21</v>
      </c>
      <c r="AO39" s="22">
        <f>G39*0.768829995158088</f>
        <v>0</v>
      </c>
      <c r="AP39" s="22">
        <f>G39*(1-0.768829995158088)</f>
        <v>0</v>
      </c>
      <c r="AQ39" s="23" t="s">
        <v>163</v>
      </c>
      <c r="AV39" s="22">
        <f>AW39+AX39</f>
        <v>0</v>
      </c>
      <c r="AW39" s="22">
        <f>F39*AO39</f>
        <v>0</v>
      </c>
      <c r="AX39" s="22">
        <f>F39*AP39</f>
        <v>0</v>
      </c>
      <c r="AY39" s="23" t="s">
        <v>216</v>
      </c>
      <c r="AZ39" s="23" t="s">
        <v>209</v>
      </c>
      <c r="BA39" s="34" t="s">
        <v>170</v>
      </c>
      <c r="BC39" s="22">
        <f>AW39+AX39</f>
        <v>0</v>
      </c>
      <c r="BD39" s="22">
        <f>G39/(100-BE39)*100</f>
        <v>0</v>
      </c>
      <c r="BE39" s="22">
        <v>0</v>
      </c>
      <c r="BF39" s="22">
        <f>39</f>
        <v>39</v>
      </c>
      <c r="BH39" s="22">
        <f>F39*AO39</f>
        <v>0</v>
      </c>
      <c r="BI39" s="22">
        <f>F39*AP39</f>
        <v>0</v>
      </c>
      <c r="BJ39" s="22">
        <f>F39*G39</f>
        <v>0</v>
      </c>
      <c r="BK39" s="22"/>
      <c r="BL39" s="22">
        <v>34</v>
      </c>
      <c r="BW39" s="22">
        <v>21</v>
      </c>
    </row>
    <row r="40" spans="1:11" ht="15" customHeight="1">
      <c r="A40" s="47"/>
      <c r="C40" s="48" t="s">
        <v>217</v>
      </c>
      <c r="D40" s="48"/>
      <c r="F40" s="49">
        <v>11.163</v>
      </c>
      <c r="K40" s="50"/>
    </row>
    <row r="41" spans="1:75" ht="13.5" customHeight="1">
      <c r="A41" s="21" t="s">
        <v>218</v>
      </c>
      <c r="B41" s="3" t="s">
        <v>219</v>
      </c>
      <c r="C41" s="229" t="s">
        <v>220</v>
      </c>
      <c r="D41" s="229"/>
      <c r="E41" s="3" t="s">
        <v>215</v>
      </c>
      <c r="F41" s="22">
        <v>22.3044</v>
      </c>
      <c r="G41" s="22">
        <v>0</v>
      </c>
      <c r="H41" s="22">
        <f>F41*AO41</f>
        <v>0</v>
      </c>
      <c r="I41" s="22">
        <f>F41*AP41</f>
        <v>0</v>
      </c>
      <c r="J41" s="22">
        <f>F41*G41</f>
        <v>0</v>
      </c>
      <c r="K41" s="46" t="s">
        <v>167</v>
      </c>
      <c r="Z41" s="22">
        <f>IF(AQ41="5",BJ41,0)</f>
        <v>0</v>
      </c>
      <c r="AB41" s="22">
        <f>IF(AQ41="1",BH41,0)</f>
        <v>0</v>
      </c>
      <c r="AC41" s="22">
        <f>IF(AQ41="1",BI41,0)</f>
        <v>0</v>
      </c>
      <c r="AD41" s="22">
        <f>IF(AQ41="7",BH41,0)</f>
        <v>0</v>
      </c>
      <c r="AE41" s="22">
        <f>IF(AQ41="7",BI41,0)</f>
        <v>0</v>
      </c>
      <c r="AF41" s="22">
        <f>IF(AQ41="2",BH41,0)</f>
        <v>0</v>
      </c>
      <c r="AG41" s="22">
        <f>IF(AQ41="2",BI41,0)</f>
        <v>0</v>
      </c>
      <c r="AH41" s="22">
        <f>IF(AQ41="0",BJ41,0)</f>
        <v>0</v>
      </c>
      <c r="AI41" s="34"/>
      <c r="AJ41" s="22">
        <f>IF(AN41=0,J41,0)</f>
        <v>0</v>
      </c>
      <c r="AK41" s="22">
        <f>IF(AN41=15,J41,0)</f>
        <v>0</v>
      </c>
      <c r="AL41" s="22">
        <f>IF(AN41=21,J41,0)</f>
        <v>0</v>
      </c>
      <c r="AN41" s="22">
        <v>21</v>
      </c>
      <c r="AO41" s="22">
        <f>G41*0.608032084721873</f>
        <v>0</v>
      </c>
      <c r="AP41" s="22">
        <f>G41*(1-0.608032084721873)</f>
        <v>0</v>
      </c>
      <c r="AQ41" s="23" t="s">
        <v>163</v>
      </c>
      <c r="AV41" s="22">
        <f>AW41+AX41</f>
        <v>0</v>
      </c>
      <c r="AW41" s="22">
        <f>F41*AO41</f>
        <v>0</v>
      </c>
      <c r="AX41" s="22">
        <f>F41*AP41</f>
        <v>0</v>
      </c>
      <c r="AY41" s="23" t="s">
        <v>216</v>
      </c>
      <c r="AZ41" s="23" t="s">
        <v>209</v>
      </c>
      <c r="BA41" s="34" t="s">
        <v>170</v>
      </c>
      <c r="BC41" s="22">
        <f>AW41+AX41</f>
        <v>0</v>
      </c>
      <c r="BD41" s="22">
        <f>G41/(100-BE41)*100</f>
        <v>0</v>
      </c>
      <c r="BE41" s="22">
        <v>0</v>
      </c>
      <c r="BF41" s="22">
        <f>41</f>
        <v>41</v>
      </c>
      <c r="BH41" s="22">
        <f>F41*AO41</f>
        <v>0</v>
      </c>
      <c r="BI41" s="22">
        <f>F41*AP41</f>
        <v>0</v>
      </c>
      <c r="BJ41" s="22">
        <f>F41*G41</f>
        <v>0</v>
      </c>
      <c r="BK41" s="22"/>
      <c r="BL41" s="22">
        <v>34</v>
      </c>
      <c r="BW41" s="22">
        <v>21</v>
      </c>
    </row>
    <row r="42" spans="1:11" ht="15" customHeight="1">
      <c r="A42" s="47"/>
      <c r="C42" s="48" t="s">
        <v>221</v>
      </c>
      <c r="D42" s="48" t="s">
        <v>222</v>
      </c>
      <c r="F42" s="49">
        <v>20.276400000000002</v>
      </c>
      <c r="K42" s="50"/>
    </row>
    <row r="43" spans="1:11" ht="15" customHeight="1">
      <c r="A43" s="47"/>
      <c r="C43" s="48" t="s">
        <v>223</v>
      </c>
      <c r="D43" s="48" t="s">
        <v>224</v>
      </c>
      <c r="F43" s="49">
        <v>2.028</v>
      </c>
      <c r="K43" s="50"/>
    </row>
    <row r="44" spans="1:11" ht="27" customHeight="1">
      <c r="A44" s="47"/>
      <c r="B44" s="51" t="s">
        <v>175</v>
      </c>
      <c r="C44" s="268" t="s">
        <v>225</v>
      </c>
      <c r="D44" s="268"/>
      <c r="E44" s="268"/>
      <c r="F44" s="268"/>
      <c r="G44" s="268"/>
      <c r="H44" s="268"/>
      <c r="I44" s="268"/>
      <c r="J44" s="268"/>
      <c r="K44" s="268"/>
    </row>
    <row r="45" spans="1:47" ht="15" customHeight="1">
      <c r="A45" s="42"/>
      <c r="B45" s="43" t="s">
        <v>79</v>
      </c>
      <c r="C45" s="267" t="s">
        <v>80</v>
      </c>
      <c r="D45" s="267"/>
      <c r="E45" s="44" t="s">
        <v>58</v>
      </c>
      <c r="F45" s="44" t="s">
        <v>58</v>
      </c>
      <c r="G45" s="44" t="s">
        <v>58</v>
      </c>
      <c r="H45" s="30">
        <f>SUM(H46:H59)</f>
        <v>0</v>
      </c>
      <c r="I45" s="30">
        <f>SUM(I46:I59)</f>
        <v>0</v>
      </c>
      <c r="J45" s="30">
        <f>SUM(J46:J59)</f>
        <v>0</v>
      </c>
      <c r="K45" s="45"/>
      <c r="AI45" s="34"/>
      <c r="AS45" s="30">
        <f>SUM(AJ46:AJ59)</f>
        <v>0</v>
      </c>
      <c r="AT45" s="30">
        <f>SUM(AK46:AK59)</f>
        <v>0</v>
      </c>
      <c r="AU45" s="30">
        <f>SUM(AL46:AL59)</f>
        <v>0</v>
      </c>
    </row>
    <row r="46" spans="1:75" ht="13.5" customHeight="1">
      <c r="A46" s="21" t="s">
        <v>226</v>
      </c>
      <c r="B46" s="3" t="s">
        <v>227</v>
      </c>
      <c r="C46" s="229" t="s">
        <v>228</v>
      </c>
      <c r="D46" s="229"/>
      <c r="E46" s="3" t="s">
        <v>215</v>
      </c>
      <c r="F46" s="22">
        <v>63.34</v>
      </c>
      <c r="G46" s="22">
        <v>0</v>
      </c>
      <c r="H46" s="22">
        <f>F46*AO46</f>
        <v>0</v>
      </c>
      <c r="I46" s="22">
        <f>F46*AP46</f>
        <v>0</v>
      </c>
      <c r="J46" s="22">
        <f>F46*G46</f>
        <v>0</v>
      </c>
      <c r="K46" s="46" t="s">
        <v>167</v>
      </c>
      <c r="Z46" s="22">
        <f>IF(AQ46="5",BJ46,0)</f>
        <v>0</v>
      </c>
      <c r="AB46" s="22">
        <f>IF(AQ46="1",BH46,0)</f>
        <v>0</v>
      </c>
      <c r="AC46" s="22">
        <f>IF(AQ46="1",BI46,0)</f>
        <v>0</v>
      </c>
      <c r="AD46" s="22">
        <f>IF(AQ46="7",BH46,0)</f>
        <v>0</v>
      </c>
      <c r="AE46" s="22">
        <f>IF(AQ46="7",BI46,0)</f>
        <v>0</v>
      </c>
      <c r="AF46" s="22">
        <f>IF(AQ46="2",BH46,0)</f>
        <v>0</v>
      </c>
      <c r="AG46" s="22">
        <f>IF(AQ46="2",BI46,0)</f>
        <v>0</v>
      </c>
      <c r="AH46" s="22">
        <f>IF(AQ46="0",BJ46,0)</f>
        <v>0</v>
      </c>
      <c r="AI46" s="34"/>
      <c r="AJ46" s="22">
        <f>IF(AN46=0,J46,0)</f>
        <v>0</v>
      </c>
      <c r="AK46" s="22">
        <f>IF(AN46=15,J46,0)</f>
        <v>0</v>
      </c>
      <c r="AL46" s="22">
        <f>IF(AN46=21,J46,0)</f>
        <v>0</v>
      </c>
      <c r="AN46" s="22">
        <v>21</v>
      </c>
      <c r="AO46" s="22">
        <f>G46*0.186053962900506</f>
        <v>0</v>
      </c>
      <c r="AP46" s="22">
        <f>G46*(1-0.186053962900506)</f>
        <v>0</v>
      </c>
      <c r="AQ46" s="23" t="s">
        <v>163</v>
      </c>
      <c r="AV46" s="22">
        <f>AW46+AX46</f>
        <v>0</v>
      </c>
      <c r="AW46" s="22">
        <f>F46*AO46</f>
        <v>0</v>
      </c>
      <c r="AX46" s="22">
        <f>F46*AP46</f>
        <v>0</v>
      </c>
      <c r="AY46" s="23" t="s">
        <v>229</v>
      </c>
      <c r="AZ46" s="23" t="s">
        <v>230</v>
      </c>
      <c r="BA46" s="34" t="s">
        <v>170</v>
      </c>
      <c r="BC46" s="22">
        <f>AW46+AX46</f>
        <v>0</v>
      </c>
      <c r="BD46" s="22">
        <f>G46/(100-BE46)*100</f>
        <v>0</v>
      </c>
      <c r="BE46" s="22">
        <v>0</v>
      </c>
      <c r="BF46" s="22">
        <f>46</f>
        <v>46</v>
      </c>
      <c r="BH46" s="22">
        <f>F46*AO46</f>
        <v>0</v>
      </c>
      <c r="BI46" s="22">
        <f>F46*AP46</f>
        <v>0</v>
      </c>
      <c r="BJ46" s="22">
        <f>F46*G46</f>
        <v>0</v>
      </c>
      <c r="BK46" s="22"/>
      <c r="BL46" s="22">
        <v>61</v>
      </c>
      <c r="BW46" s="22">
        <v>21</v>
      </c>
    </row>
    <row r="47" spans="1:11" ht="15" customHeight="1">
      <c r="A47" s="47"/>
      <c r="C47" s="48" t="s">
        <v>231</v>
      </c>
      <c r="D47" s="48"/>
      <c r="F47" s="49">
        <v>63.34</v>
      </c>
      <c r="K47" s="50"/>
    </row>
    <row r="48" spans="1:11" ht="13.5" customHeight="1">
      <c r="A48" s="47"/>
      <c r="B48" s="51" t="s">
        <v>175</v>
      </c>
      <c r="C48" s="268" t="s">
        <v>232</v>
      </c>
      <c r="D48" s="268"/>
      <c r="E48" s="268"/>
      <c r="F48" s="268"/>
      <c r="G48" s="268"/>
      <c r="H48" s="268"/>
      <c r="I48" s="268"/>
      <c r="J48" s="268"/>
      <c r="K48" s="268"/>
    </row>
    <row r="49" spans="1:75" ht="13.5" customHeight="1">
      <c r="A49" s="21" t="s">
        <v>233</v>
      </c>
      <c r="B49" s="3" t="s">
        <v>234</v>
      </c>
      <c r="C49" s="229" t="s">
        <v>235</v>
      </c>
      <c r="D49" s="229"/>
      <c r="E49" s="3" t="s">
        <v>215</v>
      </c>
      <c r="F49" s="22">
        <v>102.8736</v>
      </c>
      <c r="G49" s="22">
        <v>0</v>
      </c>
      <c r="H49" s="22">
        <f>F49*AO49</f>
        <v>0</v>
      </c>
      <c r="I49" s="22">
        <f>F49*AP49</f>
        <v>0</v>
      </c>
      <c r="J49" s="22">
        <f>F49*G49</f>
        <v>0</v>
      </c>
      <c r="K49" s="46" t="s">
        <v>167</v>
      </c>
      <c r="Z49" s="22">
        <f>IF(AQ49="5",BJ49,0)</f>
        <v>0</v>
      </c>
      <c r="AB49" s="22">
        <f>IF(AQ49="1",BH49,0)</f>
        <v>0</v>
      </c>
      <c r="AC49" s="22">
        <f>IF(AQ49="1",BI49,0)</f>
        <v>0</v>
      </c>
      <c r="AD49" s="22">
        <f>IF(AQ49="7",BH49,0)</f>
        <v>0</v>
      </c>
      <c r="AE49" s="22">
        <f>IF(AQ49="7",BI49,0)</f>
        <v>0</v>
      </c>
      <c r="AF49" s="22">
        <f>IF(AQ49="2",BH49,0)</f>
        <v>0</v>
      </c>
      <c r="AG49" s="22">
        <f>IF(AQ49="2",BI49,0)</f>
        <v>0</v>
      </c>
      <c r="AH49" s="22">
        <f>IF(AQ49="0",BJ49,0)</f>
        <v>0</v>
      </c>
      <c r="AI49" s="34"/>
      <c r="AJ49" s="22">
        <f>IF(AN49=0,J49,0)</f>
        <v>0</v>
      </c>
      <c r="AK49" s="22">
        <f>IF(AN49=15,J49,0)</f>
        <v>0</v>
      </c>
      <c r="AL49" s="22">
        <f>IF(AN49=21,J49,0)</f>
        <v>0</v>
      </c>
      <c r="AN49" s="22">
        <v>21</v>
      </c>
      <c r="AO49" s="22">
        <f>G49*0.131226051684897</f>
        <v>0</v>
      </c>
      <c r="AP49" s="22">
        <f>G49*(1-0.131226051684897)</f>
        <v>0</v>
      </c>
      <c r="AQ49" s="23" t="s">
        <v>163</v>
      </c>
      <c r="AV49" s="22">
        <f>AW49+AX49</f>
        <v>0</v>
      </c>
      <c r="AW49" s="22">
        <f>F49*AO49</f>
        <v>0</v>
      </c>
      <c r="AX49" s="22">
        <f>F49*AP49</f>
        <v>0</v>
      </c>
      <c r="AY49" s="23" t="s">
        <v>229</v>
      </c>
      <c r="AZ49" s="23" t="s">
        <v>230</v>
      </c>
      <c r="BA49" s="34" t="s">
        <v>170</v>
      </c>
      <c r="BC49" s="22">
        <f>AW49+AX49</f>
        <v>0</v>
      </c>
      <c r="BD49" s="22">
        <f>G49/(100-BE49)*100</f>
        <v>0</v>
      </c>
      <c r="BE49" s="22">
        <v>0</v>
      </c>
      <c r="BF49" s="22">
        <f>49</f>
        <v>49</v>
      </c>
      <c r="BH49" s="22">
        <f>F49*AO49</f>
        <v>0</v>
      </c>
      <c r="BI49" s="22">
        <f>F49*AP49</f>
        <v>0</v>
      </c>
      <c r="BJ49" s="22">
        <f>F49*G49</f>
        <v>0</v>
      </c>
      <c r="BK49" s="22"/>
      <c r="BL49" s="22">
        <v>61</v>
      </c>
      <c r="BW49" s="22">
        <v>21</v>
      </c>
    </row>
    <row r="50" spans="1:11" ht="15" customHeight="1">
      <c r="A50" s="47"/>
      <c r="C50" s="48" t="s">
        <v>236</v>
      </c>
      <c r="D50" s="48"/>
      <c r="F50" s="49">
        <v>80.6208</v>
      </c>
      <c r="K50" s="50"/>
    </row>
    <row r="51" spans="1:11" ht="15" customHeight="1">
      <c r="A51" s="47"/>
      <c r="C51" s="48" t="s">
        <v>237</v>
      </c>
      <c r="D51" s="48" t="s">
        <v>238</v>
      </c>
      <c r="F51" s="49">
        <v>22.2528</v>
      </c>
      <c r="K51" s="50"/>
    </row>
    <row r="52" spans="1:11" ht="13.5" customHeight="1">
      <c r="A52" s="47"/>
      <c r="B52" s="51" t="s">
        <v>175</v>
      </c>
      <c r="C52" s="268" t="s">
        <v>239</v>
      </c>
      <c r="D52" s="268"/>
      <c r="E52" s="268"/>
      <c r="F52" s="268"/>
      <c r="G52" s="268"/>
      <c r="H52" s="268"/>
      <c r="I52" s="268"/>
      <c r="J52" s="268"/>
      <c r="K52" s="268"/>
    </row>
    <row r="53" spans="1:75" ht="13.5" customHeight="1">
      <c r="A53" s="21" t="s">
        <v>240</v>
      </c>
      <c r="B53" s="3" t="s">
        <v>241</v>
      </c>
      <c r="C53" s="229" t="s">
        <v>242</v>
      </c>
      <c r="D53" s="229"/>
      <c r="E53" s="3" t="s">
        <v>243</v>
      </c>
      <c r="F53" s="22">
        <v>13.3</v>
      </c>
      <c r="G53" s="22">
        <v>0</v>
      </c>
      <c r="H53" s="22">
        <f>F53*AO53</f>
        <v>0</v>
      </c>
      <c r="I53" s="22">
        <f>F53*AP53</f>
        <v>0</v>
      </c>
      <c r="J53" s="22">
        <f>F53*G53</f>
        <v>0</v>
      </c>
      <c r="K53" s="46" t="s">
        <v>167</v>
      </c>
      <c r="Z53" s="22">
        <f>IF(AQ53="5",BJ53,0)</f>
        <v>0</v>
      </c>
      <c r="AB53" s="22">
        <f>IF(AQ53="1",BH53,0)</f>
        <v>0</v>
      </c>
      <c r="AC53" s="22">
        <f>IF(AQ53="1",BI53,0)</f>
        <v>0</v>
      </c>
      <c r="AD53" s="22">
        <f>IF(AQ53="7",BH53,0)</f>
        <v>0</v>
      </c>
      <c r="AE53" s="22">
        <f>IF(AQ53="7",BI53,0)</f>
        <v>0</v>
      </c>
      <c r="AF53" s="22">
        <f>IF(AQ53="2",BH53,0)</f>
        <v>0</v>
      </c>
      <c r="AG53" s="22">
        <f>IF(AQ53="2",BI53,0)</f>
        <v>0</v>
      </c>
      <c r="AH53" s="22">
        <f>IF(AQ53="0",BJ53,0)</f>
        <v>0</v>
      </c>
      <c r="AI53" s="34"/>
      <c r="AJ53" s="22">
        <f>IF(AN53=0,J53,0)</f>
        <v>0</v>
      </c>
      <c r="AK53" s="22">
        <f>IF(AN53=15,J53,0)</f>
        <v>0</v>
      </c>
      <c r="AL53" s="22">
        <f>IF(AN53=21,J53,0)</f>
        <v>0</v>
      </c>
      <c r="AN53" s="22">
        <v>21</v>
      </c>
      <c r="AO53" s="22">
        <f>G53*0.227381974248927</f>
        <v>0</v>
      </c>
      <c r="AP53" s="22">
        <f>G53*(1-0.227381974248927)</f>
        <v>0</v>
      </c>
      <c r="AQ53" s="23" t="s">
        <v>163</v>
      </c>
      <c r="AV53" s="22">
        <f>AW53+AX53</f>
        <v>0</v>
      </c>
      <c r="AW53" s="22">
        <f>F53*AO53</f>
        <v>0</v>
      </c>
      <c r="AX53" s="22">
        <f>F53*AP53</f>
        <v>0</v>
      </c>
      <c r="AY53" s="23" t="s">
        <v>229</v>
      </c>
      <c r="AZ53" s="23" t="s">
        <v>230</v>
      </c>
      <c r="BA53" s="34" t="s">
        <v>170</v>
      </c>
      <c r="BC53" s="22">
        <f>AW53+AX53</f>
        <v>0</v>
      </c>
      <c r="BD53" s="22">
        <f>G53/(100-BE53)*100</f>
        <v>0</v>
      </c>
      <c r="BE53" s="22">
        <v>0</v>
      </c>
      <c r="BF53" s="22">
        <f>53</f>
        <v>53</v>
      </c>
      <c r="BH53" s="22">
        <f>F53*AO53</f>
        <v>0</v>
      </c>
      <c r="BI53" s="22">
        <f>F53*AP53</f>
        <v>0</v>
      </c>
      <c r="BJ53" s="22">
        <f>F53*G53</f>
        <v>0</v>
      </c>
      <c r="BK53" s="22"/>
      <c r="BL53" s="22">
        <v>61</v>
      </c>
      <c r="BW53" s="22">
        <v>21</v>
      </c>
    </row>
    <row r="54" spans="1:11" ht="15" customHeight="1">
      <c r="A54" s="47"/>
      <c r="C54" s="48" t="s">
        <v>244</v>
      </c>
      <c r="D54" s="48" t="s">
        <v>245</v>
      </c>
      <c r="F54" s="49">
        <v>9.8</v>
      </c>
      <c r="K54" s="50"/>
    </row>
    <row r="55" spans="1:11" ht="15" customHeight="1">
      <c r="A55" s="47"/>
      <c r="C55" s="48" t="s">
        <v>246</v>
      </c>
      <c r="D55" s="48" t="s">
        <v>247</v>
      </c>
      <c r="F55" s="49">
        <v>3.5000000000000004</v>
      </c>
      <c r="K55" s="50"/>
    </row>
    <row r="56" spans="1:75" ht="13.5" customHeight="1">
      <c r="A56" s="21" t="s">
        <v>248</v>
      </c>
      <c r="B56" s="3" t="s">
        <v>249</v>
      </c>
      <c r="C56" s="229" t="s">
        <v>250</v>
      </c>
      <c r="D56" s="229"/>
      <c r="E56" s="3" t="s">
        <v>207</v>
      </c>
      <c r="F56" s="22">
        <v>12</v>
      </c>
      <c r="G56" s="22">
        <v>0</v>
      </c>
      <c r="H56" s="22">
        <f>F56*AO56</f>
        <v>0</v>
      </c>
      <c r="I56" s="22">
        <f>F56*AP56</f>
        <v>0</v>
      </c>
      <c r="J56" s="22">
        <f>F56*G56</f>
        <v>0</v>
      </c>
      <c r="K56" s="46" t="s">
        <v>167</v>
      </c>
      <c r="Z56" s="22">
        <f>IF(AQ56="5",BJ56,0)</f>
        <v>0</v>
      </c>
      <c r="AB56" s="22">
        <f>IF(AQ56="1",BH56,0)</f>
        <v>0</v>
      </c>
      <c r="AC56" s="22">
        <f>IF(AQ56="1",BI56,0)</f>
        <v>0</v>
      </c>
      <c r="AD56" s="22">
        <f>IF(AQ56="7",BH56,0)</f>
        <v>0</v>
      </c>
      <c r="AE56" s="22">
        <f>IF(AQ56="7",BI56,0)</f>
        <v>0</v>
      </c>
      <c r="AF56" s="22">
        <f>IF(AQ56="2",BH56,0)</f>
        <v>0</v>
      </c>
      <c r="AG56" s="22">
        <f>IF(AQ56="2",BI56,0)</f>
        <v>0</v>
      </c>
      <c r="AH56" s="22">
        <f>IF(AQ56="0",BJ56,0)</f>
        <v>0</v>
      </c>
      <c r="AI56" s="34"/>
      <c r="AJ56" s="22">
        <f>IF(AN56=0,J56,0)</f>
        <v>0</v>
      </c>
      <c r="AK56" s="22">
        <f>IF(AN56=15,J56,0)</f>
        <v>0</v>
      </c>
      <c r="AL56" s="22">
        <f>IF(AN56=21,J56,0)</f>
        <v>0</v>
      </c>
      <c r="AN56" s="22">
        <v>21</v>
      </c>
      <c r="AO56" s="22">
        <f>G56*0.325712938958284</f>
        <v>0</v>
      </c>
      <c r="AP56" s="22">
        <f>G56*(1-0.325712938958284)</f>
        <v>0</v>
      </c>
      <c r="AQ56" s="23" t="s">
        <v>163</v>
      </c>
      <c r="AV56" s="22">
        <f>AW56+AX56</f>
        <v>0</v>
      </c>
      <c r="AW56" s="22">
        <f>F56*AO56</f>
        <v>0</v>
      </c>
      <c r="AX56" s="22">
        <f>F56*AP56</f>
        <v>0</v>
      </c>
      <c r="AY56" s="23" t="s">
        <v>229</v>
      </c>
      <c r="AZ56" s="23" t="s">
        <v>230</v>
      </c>
      <c r="BA56" s="34" t="s">
        <v>170</v>
      </c>
      <c r="BC56" s="22">
        <f>AW56+AX56</f>
        <v>0</v>
      </c>
      <c r="BD56" s="22">
        <f>G56/(100-BE56)*100</f>
        <v>0</v>
      </c>
      <c r="BE56" s="22">
        <v>0</v>
      </c>
      <c r="BF56" s="22">
        <f>56</f>
        <v>56</v>
      </c>
      <c r="BH56" s="22">
        <f>F56*AO56</f>
        <v>0</v>
      </c>
      <c r="BI56" s="22">
        <f>F56*AP56</f>
        <v>0</v>
      </c>
      <c r="BJ56" s="22">
        <f>F56*G56</f>
        <v>0</v>
      </c>
      <c r="BK56" s="22"/>
      <c r="BL56" s="22">
        <v>61</v>
      </c>
      <c r="BW56" s="22">
        <v>21</v>
      </c>
    </row>
    <row r="57" spans="1:11" ht="15" customHeight="1">
      <c r="A57" s="47"/>
      <c r="C57" s="48" t="s">
        <v>248</v>
      </c>
      <c r="D57" s="48" t="s">
        <v>251</v>
      </c>
      <c r="F57" s="49">
        <v>12.000000000000002</v>
      </c>
      <c r="K57" s="50"/>
    </row>
    <row r="58" spans="1:11" ht="27" customHeight="1">
      <c r="A58" s="47"/>
      <c r="B58" s="51" t="s">
        <v>175</v>
      </c>
      <c r="C58" s="268" t="s">
        <v>252</v>
      </c>
      <c r="D58" s="268"/>
      <c r="E58" s="268"/>
      <c r="F58" s="268"/>
      <c r="G58" s="268"/>
      <c r="H58" s="268"/>
      <c r="I58" s="268"/>
      <c r="J58" s="268"/>
      <c r="K58" s="268"/>
    </row>
    <row r="59" spans="1:75" ht="13.5" customHeight="1">
      <c r="A59" s="21" t="s">
        <v>66</v>
      </c>
      <c r="B59" s="3" t="s">
        <v>253</v>
      </c>
      <c r="C59" s="229" t="s">
        <v>254</v>
      </c>
      <c r="D59" s="229"/>
      <c r="E59" s="3" t="s">
        <v>215</v>
      </c>
      <c r="F59" s="22">
        <v>39.4</v>
      </c>
      <c r="G59" s="22">
        <v>0</v>
      </c>
      <c r="H59" s="22">
        <f>F59*AO59</f>
        <v>0</v>
      </c>
      <c r="I59" s="22">
        <f>F59*AP59</f>
        <v>0</v>
      </c>
      <c r="J59" s="22">
        <f>F59*G59</f>
        <v>0</v>
      </c>
      <c r="K59" s="46" t="s">
        <v>167</v>
      </c>
      <c r="Z59" s="22">
        <f>IF(AQ59="5",BJ59,0)</f>
        <v>0</v>
      </c>
      <c r="AB59" s="22">
        <f>IF(AQ59="1",BH59,0)</f>
        <v>0</v>
      </c>
      <c r="AC59" s="22">
        <f>IF(AQ59="1",BI59,0)</f>
        <v>0</v>
      </c>
      <c r="AD59" s="22">
        <f>IF(AQ59="7",BH59,0)</f>
        <v>0</v>
      </c>
      <c r="AE59" s="22">
        <f>IF(AQ59="7",BI59,0)</f>
        <v>0</v>
      </c>
      <c r="AF59" s="22">
        <f>IF(AQ59="2",BH59,0)</f>
        <v>0</v>
      </c>
      <c r="AG59" s="22">
        <f>IF(AQ59="2",BI59,0)</f>
        <v>0</v>
      </c>
      <c r="AH59" s="22">
        <f>IF(AQ59="0",BJ59,0)</f>
        <v>0</v>
      </c>
      <c r="AI59" s="34"/>
      <c r="AJ59" s="22">
        <f>IF(AN59=0,J59,0)</f>
        <v>0</v>
      </c>
      <c r="AK59" s="22">
        <f>IF(AN59=15,J59,0)</f>
        <v>0</v>
      </c>
      <c r="AL59" s="22">
        <f>IF(AN59=21,J59,0)</f>
        <v>0</v>
      </c>
      <c r="AN59" s="22">
        <v>21</v>
      </c>
      <c r="AO59" s="22">
        <f>G59*0.514563218390805</f>
        <v>0</v>
      </c>
      <c r="AP59" s="22">
        <f>G59*(1-0.514563218390805)</f>
        <v>0</v>
      </c>
      <c r="AQ59" s="23" t="s">
        <v>163</v>
      </c>
      <c r="AV59" s="22">
        <f>AW59+AX59</f>
        <v>0</v>
      </c>
      <c r="AW59" s="22">
        <f>F59*AO59</f>
        <v>0</v>
      </c>
      <c r="AX59" s="22">
        <f>F59*AP59</f>
        <v>0</v>
      </c>
      <c r="AY59" s="23" t="s">
        <v>229</v>
      </c>
      <c r="AZ59" s="23" t="s">
        <v>230</v>
      </c>
      <c r="BA59" s="34" t="s">
        <v>170</v>
      </c>
      <c r="BC59" s="22">
        <f>AW59+AX59</f>
        <v>0</v>
      </c>
      <c r="BD59" s="22">
        <f>G59/(100-BE59)*100</f>
        <v>0</v>
      </c>
      <c r="BE59" s="22">
        <v>0</v>
      </c>
      <c r="BF59" s="22">
        <f>59</f>
        <v>59</v>
      </c>
      <c r="BH59" s="22">
        <f>F59*AO59</f>
        <v>0</v>
      </c>
      <c r="BI59" s="22">
        <f>F59*AP59</f>
        <v>0</v>
      </c>
      <c r="BJ59" s="22">
        <f>F59*G59</f>
        <v>0</v>
      </c>
      <c r="BK59" s="22"/>
      <c r="BL59" s="22">
        <v>61</v>
      </c>
      <c r="BW59" s="22">
        <v>21</v>
      </c>
    </row>
    <row r="60" spans="1:11" ht="15" customHeight="1">
      <c r="A60" s="47"/>
      <c r="C60" s="48" t="s">
        <v>255</v>
      </c>
      <c r="D60" s="48" t="s">
        <v>256</v>
      </c>
      <c r="F60" s="49">
        <v>39.400000000000006</v>
      </c>
      <c r="K60" s="50"/>
    </row>
    <row r="61" spans="1:11" ht="27" customHeight="1">
      <c r="A61" s="47"/>
      <c r="B61" s="51" t="s">
        <v>175</v>
      </c>
      <c r="C61" s="268" t="s">
        <v>257</v>
      </c>
      <c r="D61" s="268"/>
      <c r="E61" s="268"/>
      <c r="F61" s="268"/>
      <c r="G61" s="268"/>
      <c r="H61" s="268"/>
      <c r="I61" s="268"/>
      <c r="J61" s="268"/>
      <c r="K61" s="268"/>
    </row>
    <row r="62" spans="1:47" ht="15" customHeight="1">
      <c r="A62" s="42"/>
      <c r="B62" s="43" t="s">
        <v>81</v>
      </c>
      <c r="C62" s="267" t="s">
        <v>82</v>
      </c>
      <c r="D62" s="267"/>
      <c r="E62" s="44" t="s">
        <v>58</v>
      </c>
      <c r="F62" s="44" t="s">
        <v>58</v>
      </c>
      <c r="G62" s="44" t="s">
        <v>58</v>
      </c>
      <c r="H62" s="30">
        <f>SUM(H63:H70)</f>
        <v>0</v>
      </c>
      <c r="I62" s="30">
        <f>SUM(I63:I70)</f>
        <v>0</v>
      </c>
      <c r="J62" s="30">
        <f>SUM(J63:J70)</f>
        <v>0</v>
      </c>
      <c r="K62" s="45"/>
      <c r="AI62" s="34"/>
      <c r="AS62" s="30">
        <f>SUM(AJ63:AJ70)</f>
        <v>0</v>
      </c>
      <c r="AT62" s="30">
        <f>SUM(AK63:AK70)</f>
        <v>0</v>
      </c>
      <c r="AU62" s="30">
        <f>SUM(AL63:AL70)</f>
        <v>0</v>
      </c>
    </row>
    <row r="63" spans="1:75" ht="13.5" customHeight="1">
      <c r="A63" s="21" t="s">
        <v>258</v>
      </c>
      <c r="B63" s="3" t="s">
        <v>259</v>
      </c>
      <c r="C63" s="229" t="s">
        <v>260</v>
      </c>
      <c r="D63" s="229"/>
      <c r="E63" s="3" t="s">
        <v>166</v>
      </c>
      <c r="F63" s="22">
        <v>0.63</v>
      </c>
      <c r="G63" s="22">
        <v>0</v>
      </c>
      <c r="H63" s="22">
        <f>F63*AO63</f>
        <v>0</v>
      </c>
      <c r="I63" s="22">
        <f>F63*AP63</f>
        <v>0</v>
      </c>
      <c r="J63" s="22">
        <f>F63*G63</f>
        <v>0</v>
      </c>
      <c r="K63" s="46" t="s">
        <v>167</v>
      </c>
      <c r="Z63" s="22">
        <f>IF(AQ63="5",BJ63,0)</f>
        <v>0</v>
      </c>
      <c r="AB63" s="22">
        <f>IF(AQ63="1",BH63,0)</f>
        <v>0</v>
      </c>
      <c r="AC63" s="22">
        <f>IF(AQ63="1",BI63,0)</f>
        <v>0</v>
      </c>
      <c r="AD63" s="22">
        <f>IF(AQ63="7",BH63,0)</f>
        <v>0</v>
      </c>
      <c r="AE63" s="22">
        <f>IF(AQ63="7",BI63,0)</f>
        <v>0</v>
      </c>
      <c r="AF63" s="22">
        <f>IF(AQ63="2",BH63,0)</f>
        <v>0</v>
      </c>
      <c r="AG63" s="22">
        <f>IF(AQ63="2",BI63,0)</f>
        <v>0</v>
      </c>
      <c r="AH63" s="22">
        <f>IF(AQ63="0",BJ63,0)</f>
        <v>0</v>
      </c>
      <c r="AI63" s="34"/>
      <c r="AJ63" s="22">
        <f>IF(AN63=0,J63,0)</f>
        <v>0</v>
      </c>
      <c r="AK63" s="22">
        <f>IF(AN63=15,J63,0)</f>
        <v>0</v>
      </c>
      <c r="AL63" s="22">
        <f>IF(AN63=21,J63,0)</f>
        <v>0</v>
      </c>
      <c r="AN63" s="22">
        <v>21</v>
      </c>
      <c r="AO63" s="22">
        <f>G63*0.736224175824176</f>
        <v>0</v>
      </c>
      <c r="AP63" s="22">
        <f>G63*(1-0.736224175824176)</f>
        <v>0</v>
      </c>
      <c r="AQ63" s="23" t="s">
        <v>163</v>
      </c>
      <c r="AV63" s="22">
        <f>AW63+AX63</f>
        <v>0</v>
      </c>
      <c r="AW63" s="22">
        <f>F63*AO63</f>
        <v>0</v>
      </c>
      <c r="AX63" s="22">
        <f>F63*AP63</f>
        <v>0</v>
      </c>
      <c r="AY63" s="23" t="s">
        <v>261</v>
      </c>
      <c r="AZ63" s="23" t="s">
        <v>230</v>
      </c>
      <c r="BA63" s="34" t="s">
        <v>170</v>
      </c>
      <c r="BC63" s="22">
        <f>AW63+AX63</f>
        <v>0</v>
      </c>
      <c r="BD63" s="22">
        <f>G63/(100-BE63)*100</f>
        <v>0</v>
      </c>
      <c r="BE63" s="22">
        <v>0</v>
      </c>
      <c r="BF63" s="22">
        <f>63</f>
        <v>63</v>
      </c>
      <c r="BH63" s="22">
        <f>F63*AO63</f>
        <v>0</v>
      </c>
      <c r="BI63" s="22">
        <f>F63*AP63</f>
        <v>0</v>
      </c>
      <c r="BJ63" s="22">
        <f>F63*G63</f>
        <v>0</v>
      </c>
      <c r="BK63" s="22"/>
      <c r="BL63" s="22">
        <v>63</v>
      </c>
      <c r="BW63" s="22">
        <v>21</v>
      </c>
    </row>
    <row r="64" spans="1:11" ht="15" customHeight="1">
      <c r="A64" s="47"/>
      <c r="C64" s="48" t="s">
        <v>262</v>
      </c>
      <c r="D64" s="48" t="s">
        <v>263</v>
      </c>
      <c r="F64" s="49">
        <v>0.081</v>
      </c>
      <c r="K64" s="50"/>
    </row>
    <row r="65" spans="1:11" ht="15" customHeight="1">
      <c r="A65" s="47"/>
      <c r="C65" s="48" t="s">
        <v>264</v>
      </c>
      <c r="D65" s="48" t="s">
        <v>265</v>
      </c>
      <c r="F65" s="49">
        <v>0.549</v>
      </c>
      <c r="K65" s="50"/>
    </row>
    <row r="66" spans="1:11" ht="40.5" customHeight="1">
      <c r="A66" s="47"/>
      <c r="B66" s="51" t="s">
        <v>175</v>
      </c>
      <c r="C66" s="268" t="s">
        <v>266</v>
      </c>
      <c r="D66" s="268"/>
      <c r="E66" s="268"/>
      <c r="F66" s="268"/>
      <c r="G66" s="268"/>
      <c r="H66" s="268"/>
      <c r="I66" s="268"/>
      <c r="J66" s="268"/>
      <c r="K66" s="268"/>
    </row>
    <row r="67" spans="1:75" ht="13.5" customHeight="1">
      <c r="A67" s="21" t="s">
        <v>267</v>
      </c>
      <c r="B67" s="3" t="s">
        <v>268</v>
      </c>
      <c r="C67" s="229" t="s">
        <v>269</v>
      </c>
      <c r="D67" s="229"/>
      <c r="E67" s="3" t="s">
        <v>166</v>
      </c>
      <c r="F67" s="22">
        <v>0.0324</v>
      </c>
      <c r="G67" s="22">
        <v>0</v>
      </c>
      <c r="H67" s="22">
        <f>F67*AO67</f>
        <v>0</v>
      </c>
      <c r="I67" s="22">
        <f>F67*AP67</f>
        <v>0</v>
      </c>
      <c r="J67" s="22">
        <f>F67*G67</f>
        <v>0</v>
      </c>
      <c r="K67" s="46" t="s">
        <v>167</v>
      </c>
      <c r="Z67" s="22">
        <f>IF(AQ67="5",BJ67,0)</f>
        <v>0</v>
      </c>
      <c r="AB67" s="22">
        <f>IF(AQ67="1",BH67,0)</f>
        <v>0</v>
      </c>
      <c r="AC67" s="22">
        <f>IF(AQ67="1",BI67,0)</f>
        <v>0</v>
      </c>
      <c r="AD67" s="22">
        <f>IF(AQ67="7",BH67,0)</f>
        <v>0</v>
      </c>
      <c r="AE67" s="22">
        <f>IF(AQ67="7",BI67,0)</f>
        <v>0</v>
      </c>
      <c r="AF67" s="22">
        <f>IF(AQ67="2",BH67,0)</f>
        <v>0</v>
      </c>
      <c r="AG67" s="22">
        <f>IF(AQ67="2",BI67,0)</f>
        <v>0</v>
      </c>
      <c r="AH67" s="22">
        <f>IF(AQ67="0",BJ67,0)</f>
        <v>0</v>
      </c>
      <c r="AI67" s="34"/>
      <c r="AJ67" s="22">
        <f>IF(AN67=0,J67,0)</f>
        <v>0</v>
      </c>
      <c r="AK67" s="22">
        <f>IF(AN67=15,J67,0)</f>
        <v>0</v>
      </c>
      <c r="AL67" s="22">
        <f>IF(AN67=21,J67,0)</f>
        <v>0</v>
      </c>
      <c r="AN67" s="22">
        <v>21</v>
      </c>
      <c r="AO67" s="22">
        <f>G67*0.702579117264591</f>
        <v>0</v>
      </c>
      <c r="AP67" s="22">
        <f>G67*(1-0.702579117264591)</f>
        <v>0</v>
      </c>
      <c r="AQ67" s="23" t="s">
        <v>163</v>
      </c>
      <c r="AV67" s="22">
        <f>AW67+AX67</f>
        <v>0</v>
      </c>
      <c r="AW67" s="22">
        <f>F67*AO67</f>
        <v>0</v>
      </c>
      <c r="AX67" s="22">
        <f>F67*AP67</f>
        <v>0</v>
      </c>
      <c r="AY67" s="23" t="s">
        <v>261</v>
      </c>
      <c r="AZ67" s="23" t="s">
        <v>230</v>
      </c>
      <c r="BA67" s="34" t="s">
        <v>170</v>
      </c>
      <c r="BC67" s="22">
        <f>AW67+AX67</f>
        <v>0</v>
      </c>
      <c r="BD67" s="22">
        <f>G67/(100-BE67)*100</f>
        <v>0</v>
      </c>
      <c r="BE67" s="22">
        <v>0</v>
      </c>
      <c r="BF67" s="22">
        <f>67</f>
        <v>67</v>
      </c>
      <c r="BH67" s="22">
        <f>F67*AO67</f>
        <v>0</v>
      </c>
      <c r="BI67" s="22">
        <f>F67*AP67</f>
        <v>0</v>
      </c>
      <c r="BJ67" s="22">
        <f>F67*G67</f>
        <v>0</v>
      </c>
      <c r="BK67" s="22"/>
      <c r="BL67" s="22">
        <v>63</v>
      </c>
      <c r="BW67" s="22">
        <v>21</v>
      </c>
    </row>
    <row r="68" spans="1:11" ht="15" customHeight="1">
      <c r="A68" s="47"/>
      <c r="C68" s="48" t="s">
        <v>270</v>
      </c>
      <c r="D68" s="48" t="s">
        <v>271</v>
      </c>
      <c r="F68" s="49">
        <v>0.032400000000000005</v>
      </c>
      <c r="K68" s="50"/>
    </row>
    <row r="69" spans="1:11" ht="40.5" customHeight="1">
      <c r="A69" s="47"/>
      <c r="B69" s="51" t="s">
        <v>175</v>
      </c>
      <c r="C69" s="268" t="s">
        <v>266</v>
      </c>
      <c r="D69" s="268"/>
      <c r="E69" s="268"/>
      <c r="F69" s="268"/>
      <c r="G69" s="268"/>
      <c r="H69" s="268"/>
      <c r="I69" s="268"/>
      <c r="J69" s="268"/>
      <c r="K69" s="268"/>
    </row>
    <row r="70" spans="1:75" ht="13.5" customHeight="1">
      <c r="A70" s="21" t="s">
        <v>272</v>
      </c>
      <c r="B70" s="3" t="s">
        <v>273</v>
      </c>
      <c r="C70" s="229" t="s">
        <v>274</v>
      </c>
      <c r="D70" s="229"/>
      <c r="E70" s="3" t="s">
        <v>166</v>
      </c>
      <c r="F70" s="22">
        <v>1.2258</v>
      </c>
      <c r="G70" s="22">
        <v>0</v>
      </c>
      <c r="H70" s="22">
        <f>F70*AO70</f>
        <v>0</v>
      </c>
      <c r="I70" s="22">
        <f>F70*AP70</f>
        <v>0</v>
      </c>
      <c r="J70" s="22">
        <f>F70*G70</f>
        <v>0</v>
      </c>
      <c r="K70" s="46" t="s">
        <v>167</v>
      </c>
      <c r="Z70" s="22">
        <f>IF(AQ70="5",BJ70,0)</f>
        <v>0</v>
      </c>
      <c r="AB70" s="22">
        <f>IF(AQ70="1",BH70,0)</f>
        <v>0</v>
      </c>
      <c r="AC70" s="22">
        <f>IF(AQ70="1",BI70,0)</f>
        <v>0</v>
      </c>
      <c r="AD70" s="22">
        <f>IF(AQ70="7",BH70,0)</f>
        <v>0</v>
      </c>
      <c r="AE70" s="22">
        <f>IF(AQ70="7",BI70,0)</f>
        <v>0</v>
      </c>
      <c r="AF70" s="22">
        <f>IF(AQ70="2",BH70,0)</f>
        <v>0</v>
      </c>
      <c r="AG70" s="22">
        <f>IF(AQ70="2",BI70,0)</f>
        <v>0</v>
      </c>
      <c r="AH70" s="22">
        <f>IF(AQ70="0",BJ70,0)</f>
        <v>0</v>
      </c>
      <c r="AI70" s="34"/>
      <c r="AJ70" s="22">
        <f>IF(AN70=0,J70,0)</f>
        <v>0</v>
      </c>
      <c r="AK70" s="22">
        <f>IF(AN70=15,J70,0)</f>
        <v>0</v>
      </c>
      <c r="AL70" s="22">
        <f>IF(AN70=21,J70,0)</f>
        <v>0</v>
      </c>
      <c r="AN70" s="22">
        <v>21</v>
      </c>
      <c r="AO70" s="22">
        <f>G70*0.515920754716981</f>
        <v>0</v>
      </c>
      <c r="AP70" s="22">
        <f>G70*(1-0.515920754716981)</f>
        <v>0</v>
      </c>
      <c r="AQ70" s="23" t="s">
        <v>163</v>
      </c>
      <c r="AV70" s="22">
        <f>AW70+AX70</f>
        <v>0</v>
      </c>
      <c r="AW70" s="22">
        <f>F70*AO70</f>
        <v>0</v>
      </c>
      <c r="AX70" s="22">
        <f>F70*AP70</f>
        <v>0</v>
      </c>
      <c r="AY70" s="23" t="s">
        <v>261</v>
      </c>
      <c r="AZ70" s="23" t="s">
        <v>230</v>
      </c>
      <c r="BA70" s="34" t="s">
        <v>170</v>
      </c>
      <c r="BC70" s="22">
        <f>AW70+AX70</f>
        <v>0</v>
      </c>
      <c r="BD70" s="22">
        <f>G70/(100-BE70)*100</f>
        <v>0</v>
      </c>
      <c r="BE70" s="22">
        <v>0</v>
      </c>
      <c r="BF70" s="22">
        <f>70</f>
        <v>70</v>
      </c>
      <c r="BH70" s="22">
        <f>F70*AO70</f>
        <v>0</v>
      </c>
      <c r="BI70" s="22">
        <f>F70*AP70</f>
        <v>0</v>
      </c>
      <c r="BJ70" s="22">
        <f>F70*G70</f>
        <v>0</v>
      </c>
      <c r="BK70" s="22"/>
      <c r="BL70" s="22">
        <v>63</v>
      </c>
      <c r="BW70" s="22">
        <v>21</v>
      </c>
    </row>
    <row r="71" spans="1:11" ht="15" customHeight="1">
      <c r="A71" s="47"/>
      <c r="C71" s="48" t="s">
        <v>275</v>
      </c>
      <c r="D71" s="48"/>
      <c r="F71" s="49">
        <v>1.2258</v>
      </c>
      <c r="K71" s="50"/>
    </row>
    <row r="72" spans="1:47" ht="15" customHeight="1">
      <c r="A72" s="42"/>
      <c r="B72" s="43" t="s">
        <v>83</v>
      </c>
      <c r="C72" s="267" t="s">
        <v>84</v>
      </c>
      <c r="D72" s="267"/>
      <c r="E72" s="44" t="s">
        <v>58</v>
      </c>
      <c r="F72" s="44" t="s">
        <v>58</v>
      </c>
      <c r="G72" s="44" t="s">
        <v>58</v>
      </c>
      <c r="H72" s="30">
        <f>SUM(H73:H76)</f>
        <v>0</v>
      </c>
      <c r="I72" s="30">
        <f>SUM(I73:I76)</f>
        <v>0</v>
      </c>
      <c r="J72" s="30">
        <f>SUM(J73:J76)</f>
        <v>0</v>
      </c>
      <c r="K72" s="45"/>
      <c r="AI72" s="34"/>
      <c r="AS72" s="30">
        <f>SUM(AJ73:AJ76)</f>
        <v>0</v>
      </c>
      <c r="AT72" s="30">
        <f>SUM(AK73:AK76)</f>
        <v>0</v>
      </c>
      <c r="AU72" s="30">
        <f>SUM(AL73:AL76)</f>
        <v>0</v>
      </c>
    </row>
    <row r="73" spans="1:75" ht="13.5" customHeight="1">
      <c r="A73" s="21" t="s">
        <v>69</v>
      </c>
      <c r="B73" s="3" t="s">
        <v>276</v>
      </c>
      <c r="C73" s="229" t="s">
        <v>277</v>
      </c>
      <c r="D73" s="229"/>
      <c r="E73" s="3" t="s">
        <v>207</v>
      </c>
      <c r="F73" s="22">
        <v>1</v>
      </c>
      <c r="G73" s="22">
        <v>0</v>
      </c>
      <c r="H73" s="22">
        <f>F73*AO73</f>
        <v>0</v>
      </c>
      <c r="I73" s="22">
        <f>F73*AP73</f>
        <v>0</v>
      </c>
      <c r="J73" s="22">
        <f>F73*G73</f>
        <v>0</v>
      </c>
      <c r="K73" s="46" t="s">
        <v>167</v>
      </c>
      <c r="Z73" s="22">
        <f>IF(AQ73="5",BJ73,0)</f>
        <v>0</v>
      </c>
      <c r="AB73" s="22">
        <f>IF(AQ73="1",BH73,0)</f>
        <v>0</v>
      </c>
      <c r="AC73" s="22">
        <f>IF(AQ73="1",BI73,0)</f>
        <v>0</v>
      </c>
      <c r="AD73" s="22">
        <f>IF(AQ73="7",BH73,0)</f>
        <v>0</v>
      </c>
      <c r="AE73" s="22">
        <f>IF(AQ73="7",BI73,0)</f>
        <v>0</v>
      </c>
      <c r="AF73" s="22">
        <f>IF(AQ73="2",BH73,0)</f>
        <v>0</v>
      </c>
      <c r="AG73" s="22">
        <f>IF(AQ73="2",BI73,0)</f>
        <v>0</v>
      </c>
      <c r="AH73" s="22">
        <f>IF(AQ73="0",BJ73,0)</f>
        <v>0</v>
      </c>
      <c r="AI73" s="34"/>
      <c r="AJ73" s="22">
        <f>IF(AN73=0,J73,0)</f>
        <v>0</v>
      </c>
      <c r="AK73" s="22">
        <f>IF(AN73=15,J73,0)</f>
        <v>0</v>
      </c>
      <c r="AL73" s="22">
        <f>IF(AN73=21,J73,0)</f>
        <v>0</v>
      </c>
      <c r="AN73" s="22">
        <v>21</v>
      </c>
      <c r="AO73" s="22">
        <f>G73*0.929489606929173</f>
        <v>0</v>
      </c>
      <c r="AP73" s="22">
        <f>G73*(1-0.929489606929173)</f>
        <v>0</v>
      </c>
      <c r="AQ73" s="23" t="s">
        <v>163</v>
      </c>
      <c r="AV73" s="22">
        <f>AW73+AX73</f>
        <v>0</v>
      </c>
      <c r="AW73" s="22">
        <f>F73*AO73</f>
        <v>0</v>
      </c>
      <c r="AX73" s="22">
        <f>F73*AP73</f>
        <v>0</v>
      </c>
      <c r="AY73" s="23" t="s">
        <v>278</v>
      </c>
      <c r="AZ73" s="23" t="s">
        <v>230</v>
      </c>
      <c r="BA73" s="34" t="s">
        <v>170</v>
      </c>
      <c r="BC73" s="22">
        <f>AW73+AX73</f>
        <v>0</v>
      </c>
      <c r="BD73" s="22">
        <f>G73/(100-BE73)*100</f>
        <v>0</v>
      </c>
      <c r="BE73" s="22">
        <v>0</v>
      </c>
      <c r="BF73" s="22">
        <f>73</f>
        <v>73</v>
      </c>
      <c r="BH73" s="22">
        <f>F73*AO73</f>
        <v>0</v>
      </c>
      <c r="BI73" s="22">
        <f>F73*AP73</f>
        <v>0</v>
      </c>
      <c r="BJ73" s="22">
        <f>F73*G73</f>
        <v>0</v>
      </c>
      <c r="BK73" s="22"/>
      <c r="BL73" s="22">
        <v>64</v>
      </c>
      <c r="BW73" s="22">
        <v>21</v>
      </c>
    </row>
    <row r="74" spans="1:11" ht="15" customHeight="1">
      <c r="A74" s="47"/>
      <c r="C74" s="48" t="s">
        <v>163</v>
      </c>
      <c r="D74" s="48" t="s">
        <v>279</v>
      </c>
      <c r="F74" s="49">
        <v>1</v>
      </c>
      <c r="K74" s="50"/>
    </row>
    <row r="75" spans="1:11" ht="12.75" customHeight="1">
      <c r="A75" s="47"/>
      <c r="B75" s="51" t="s">
        <v>175</v>
      </c>
      <c r="C75" s="268"/>
      <c r="D75" s="268"/>
      <c r="E75" s="268"/>
      <c r="F75" s="268"/>
      <c r="G75" s="268"/>
      <c r="H75" s="268"/>
      <c r="I75" s="268"/>
      <c r="J75" s="268"/>
      <c r="K75" s="268"/>
    </row>
    <row r="76" spans="1:75" ht="13.5" customHeight="1">
      <c r="A76" s="21" t="s">
        <v>280</v>
      </c>
      <c r="B76" s="3" t="s">
        <v>281</v>
      </c>
      <c r="C76" s="229" t="s">
        <v>282</v>
      </c>
      <c r="D76" s="229"/>
      <c r="E76" s="3" t="s">
        <v>207</v>
      </c>
      <c r="F76" s="22">
        <v>1</v>
      </c>
      <c r="G76" s="22">
        <v>0</v>
      </c>
      <c r="H76" s="22">
        <f>F76*AO76</f>
        <v>0</v>
      </c>
      <c r="I76" s="22">
        <f>F76*AP76</f>
        <v>0</v>
      </c>
      <c r="J76" s="22">
        <f>F76*G76</f>
        <v>0</v>
      </c>
      <c r="K76" s="46" t="s">
        <v>167</v>
      </c>
      <c r="Z76" s="22">
        <f>IF(AQ76="5",BJ76,0)</f>
        <v>0</v>
      </c>
      <c r="AB76" s="22">
        <f>IF(AQ76="1",BH76,0)</f>
        <v>0</v>
      </c>
      <c r="AC76" s="22">
        <f>IF(AQ76="1",BI76,0)</f>
        <v>0</v>
      </c>
      <c r="AD76" s="22">
        <f>IF(AQ76="7",BH76,0)</f>
        <v>0</v>
      </c>
      <c r="AE76" s="22">
        <f>IF(AQ76="7",BI76,0)</f>
        <v>0</v>
      </c>
      <c r="AF76" s="22">
        <f>IF(AQ76="2",BH76,0)</f>
        <v>0</v>
      </c>
      <c r="AG76" s="22">
        <f>IF(AQ76="2",BI76,0)</f>
        <v>0</v>
      </c>
      <c r="AH76" s="22">
        <f>IF(AQ76="0",BJ76,0)</f>
        <v>0</v>
      </c>
      <c r="AI76" s="34"/>
      <c r="AJ76" s="22">
        <f>IF(AN76=0,J76,0)</f>
        <v>0</v>
      </c>
      <c r="AK76" s="22">
        <f>IF(AN76=15,J76,0)</f>
        <v>0</v>
      </c>
      <c r="AL76" s="22">
        <f>IF(AN76=21,J76,0)</f>
        <v>0</v>
      </c>
      <c r="AN76" s="22">
        <v>21</v>
      </c>
      <c r="AO76" s="22">
        <f>G76*0.273541095890411</f>
        <v>0</v>
      </c>
      <c r="AP76" s="22">
        <f>G76*(1-0.273541095890411)</f>
        <v>0</v>
      </c>
      <c r="AQ76" s="23" t="s">
        <v>163</v>
      </c>
      <c r="AV76" s="22">
        <f>AW76+AX76</f>
        <v>0</v>
      </c>
      <c r="AW76" s="22">
        <f>F76*AO76</f>
        <v>0</v>
      </c>
      <c r="AX76" s="22">
        <f>F76*AP76</f>
        <v>0</v>
      </c>
      <c r="AY76" s="23" t="s">
        <v>278</v>
      </c>
      <c r="AZ76" s="23" t="s">
        <v>230</v>
      </c>
      <c r="BA76" s="34" t="s">
        <v>170</v>
      </c>
      <c r="BC76" s="22">
        <f>AW76+AX76</f>
        <v>0</v>
      </c>
      <c r="BD76" s="22">
        <f>G76/(100-BE76)*100</f>
        <v>0</v>
      </c>
      <c r="BE76" s="22">
        <v>0</v>
      </c>
      <c r="BF76" s="22">
        <f>76</f>
        <v>76</v>
      </c>
      <c r="BH76" s="22">
        <f>F76*AO76</f>
        <v>0</v>
      </c>
      <c r="BI76" s="22">
        <f>F76*AP76</f>
        <v>0</v>
      </c>
      <c r="BJ76" s="22">
        <f>F76*G76</f>
        <v>0</v>
      </c>
      <c r="BK76" s="22"/>
      <c r="BL76" s="22">
        <v>64</v>
      </c>
      <c r="BW76" s="22">
        <v>21</v>
      </c>
    </row>
    <row r="77" spans="1:11" ht="15" customHeight="1">
      <c r="A77" s="47"/>
      <c r="C77" s="48" t="s">
        <v>163</v>
      </c>
      <c r="D77" s="48" t="s">
        <v>283</v>
      </c>
      <c r="F77" s="49">
        <v>1</v>
      </c>
      <c r="K77" s="50"/>
    </row>
    <row r="78" spans="1:47" ht="15" customHeight="1">
      <c r="A78" s="42"/>
      <c r="B78" s="43" t="s">
        <v>85</v>
      </c>
      <c r="C78" s="267" t="s">
        <v>86</v>
      </c>
      <c r="D78" s="267"/>
      <c r="E78" s="44" t="s">
        <v>58</v>
      </c>
      <c r="F78" s="44" t="s">
        <v>58</v>
      </c>
      <c r="G78" s="44" t="s">
        <v>58</v>
      </c>
      <c r="H78" s="30">
        <f>SUM(H79:H85)</f>
        <v>0</v>
      </c>
      <c r="I78" s="30">
        <f>SUM(I79:I85)</f>
        <v>0</v>
      </c>
      <c r="J78" s="30">
        <f>SUM(J79:J85)</f>
        <v>0</v>
      </c>
      <c r="K78" s="45"/>
      <c r="AI78" s="34"/>
      <c r="AS78" s="30">
        <f>SUM(AJ79:AJ85)</f>
        <v>0</v>
      </c>
      <c r="AT78" s="30">
        <f>SUM(AK79:AK85)</f>
        <v>0</v>
      </c>
      <c r="AU78" s="30">
        <f>SUM(AL79:AL85)</f>
        <v>0</v>
      </c>
    </row>
    <row r="79" spans="1:75" ht="27" customHeight="1">
      <c r="A79" s="21" t="s">
        <v>71</v>
      </c>
      <c r="B79" s="3" t="s">
        <v>284</v>
      </c>
      <c r="C79" s="229" t="s">
        <v>285</v>
      </c>
      <c r="D79" s="229"/>
      <c r="E79" s="3" t="s">
        <v>215</v>
      </c>
      <c r="F79" s="22">
        <v>1.21</v>
      </c>
      <c r="G79" s="22">
        <v>0</v>
      </c>
      <c r="H79" s="22">
        <f>F79*AO79</f>
        <v>0</v>
      </c>
      <c r="I79" s="22">
        <f>F79*AP79</f>
        <v>0</v>
      </c>
      <c r="J79" s="22">
        <f>F79*G79</f>
        <v>0</v>
      </c>
      <c r="K79" s="46" t="s">
        <v>167</v>
      </c>
      <c r="Z79" s="22">
        <f>IF(AQ79="5",BJ79,0)</f>
        <v>0</v>
      </c>
      <c r="AB79" s="22">
        <f>IF(AQ79="1",BH79,0)</f>
        <v>0</v>
      </c>
      <c r="AC79" s="22">
        <f>IF(AQ79="1",BI79,0)</f>
        <v>0</v>
      </c>
      <c r="AD79" s="22">
        <f>IF(AQ79="7",BH79,0)</f>
        <v>0</v>
      </c>
      <c r="AE79" s="22">
        <f>IF(AQ79="7",BI79,0)</f>
        <v>0</v>
      </c>
      <c r="AF79" s="22">
        <f>IF(AQ79="2",BH79,0)</f>
        <v>0</v>
      </c>
      <c r="AG79" s="22">
        <f>IF(AQ79="2",BI79,0)</f>
        <v>0</v>
      </c>
      <c r="AH79" s="22">
        <f>IF(AQ79="0",BJ79,0)</f>
        <v>0</v>
      </c>
      <c r="AI79" s="34"/>
      <c r="AJ79" s="22">
        <f>IF(AN79=0,J79,0)</f>
        <v>0</v>
      </c>
      <c r="AK79" s="22">
        <f>IF(AN79=15,J79,0)</f>
        <v>0</v>
      </c>
      <c r="AL79" s="22">
        <f>IF(AN79=21,J79,0)</f>
        <v>0</v>
      </c>
      <c r="AN79" s="22">
        <v>21</v>
      </c>
      <c r="AO79" s="22">
        <f>G79*0.726192675159236</f>
        <v>0</v>
      </c>
      <c r="AP79" s="22">
        <f>G79*(1-0.726192675159236)</f>
        <v>0</v>
      </c>
      <c r="AQ79" s="23" t="s">
        <v>212</v>
      </c>
      <c r="AV79" s="22">
        <f>AW79+AX79</f>
        <v>0</v>
      </c>
      <c r="AW79" s="22">
        <f>F79*AO79</f>
        <v>0</v>
      </c>
      <c r="AX79" s="22">
        <f>F79*AP79</f>
        <v>0</v>
      </c>
      <c r="AY79" s="23" t="s">
        <v>286</v>
      </c>
      <c r="AZ79" s="23" t="s">
        <v>287</v>
      </c>
      <c r="BA79" s="34" t="s">
        <v>170</v>
      </c>
      <c r="BC79" s="22">
        <f>AW79+AX79</f>
        <v>0</v>
      </c>
      <c r="BD79" s="22">
        <f>G79/(100-BE79)*100</f>
        <v>0</v>
      </c>
      <c r="BE79" s="22">
        <v>0</v>
      </c>
      <c r="BF79" s="22">
        <f>79</f>
        <v>79</v>
      </c>
      <c r="BH79" s="22">
        <f>F79*AO79</f>
        <v>0</v>
      </c>
      <c r="BI79" s="22">
        <f>F79*AP79</f>
        <v>0</v>
      </c>
      <c r="BJ79" s="22">
        <f>F79*G79</f>
        <v>0</v>
      </c>
      <c r="BK79" s="22"/>
      <c r="BL79" s="22">
        <v>711</v>
      </c>
      <c r="BW79" s="22">
        <v>21</v>
      </c>
    </row>
    <row r="80" spans="1:11" ht="15" customHeight="1">
      <c r="A80" s="47"/>
      <c r="C80" s="48" t="s">
        <v>288</v>
      </c>
      <c r="D80" s="48" t="s">
        <v>289</v>
      </c>
      <c r="F80" s="49">
        <v>1.2100000000000002</v>
      </c>
      <c r="K80" s="50"/>
    </row>
    <row r="81" spans="1:11" ht="27" customHeight="1">
      <c r="A81" s="47"/>
      <c r="B81" s="51" t="s">
        <v>175</v>
      </c>
      <c r="C81" s="268" t="s">
        <v>290</v>
      </c>
      <c r="D81" s="268"/>
      <c r="E81" s="268"/>
      <c r="F81" s="268"/>
      <c r="G81" s="268"/>
      <c r="H81" s="268"/>
      <c r="I81" s="268"/>
      <c r="J81" s="268"/>
      <c r="K81" s="268"/>
    </row>
    <row r="82" spans="1:75" ht="13.5" customHeight="1">
      <c r="A82" s="21" t="s">
        <v>291</v>
      </c>
      <c r="B82" s="3" t="s">
        <v>292</v>
      </c>
      <c r="C82" s="229" t="s">
        <v>293</v>
      </c>
      <c r="D82" s="229"/>
      <c r="E82" s="3" t="s">
        <v>215</v>
      </c>
      <c r="F82" s="22">
        <v>1.21</v>
      </c>
      <c r="G82" s="22">
        <v>0</v>
      </c>
      <c r="H82" s="22">
        <f>F82*AO82</f>
        <v>0</v>
      </c>
      <c r="I82" s="22">
        <f>F82*AP82</f>
        <v>0</v>
      </c>
      <c r="J82" s="22">
        <f>F82*G82</f>
        <v>0</v>
      </c>
      <c r="K82" s="46" t="s">
        <v>167</v>
      </c>
      <c r="Z82" s="22">
        <f>IF(AQ82="5",BJ82,0)</f>
        <v>0</v>
      </c>
      <c r="AB82" s="22">
        <f>IF(AQ82="1",BH82,0)</f>
        <v>0</v>
      </c>
      <c r="AC82" s="22">
        <f>IF(AQ82="1",BI82,0)</f>
        <v>0</v>
      </c>
      <c r="AD82" s="22">
        <f>IF(AQ82="7",BH82,0)</f>
        <v>0</v>
      </c>
      <c r="AE82" s="22">
        <f>IF(AQ82="7",BI82,0)</f>
        <v>0</v>
      </c>
      <c r="AF82" s="22">
        <f>IF(AQ82="2",BH82,0)</f>
        <v>0</v>
      </c>
      <c r="AG82" s="22">
        <f>IF(AQ82="2",BI82,0)</f>
        <v>0</v>
      </c>
      <c r="AH82" s="22">
        <f>IF(AQ82="0",BJ82,0)</f>
        <v>0</v>
      </c>
      <c r="AI82" s="34"/>
      <c r="AJ82" s="22">
        <f>IF(AN82=0,J82,0)</f>
        <v>0</v>
      </c>
      <c r="AK82" s="22">
        <f>IF(AN82=15,J82,0)</f>
        <v>0</v>
      </c>
      <c r="AL82" s="22">
        <f>IF(AN82=21,J82,0)</f>
        <v>0</v>
      </c>
      <c r="AN82" s="22">
        <v>21</v>
      </c>
      <c r="AO82" s="22">
        <f>G82*0.802296173044925</f>
        <v>0</v>
      </c>
      <c r="AP82" s="22">
        <f>G82*(1-0.802296173044925)</f>
        <v>0</v>
      </c>
      <c r="AQ82" s="23" t="s">
        <v>212</v>
      </c>
      <c r="AV82" s="22">
        <f>AW82+AX82</f>
        <v>0</v>
      </c>
      <c r="AW82" s="22">
        <f>F82*AO82</f>
        <v>0</v>
      </c>
      <c r="AX82" s="22">
        <f>F82*AP82</f>
        <v>0</v>
      </c>
      <c r="AY82" s="23" t="s">
        <v>286</v>
      </c>
      <c r="AZ82" s="23" t="s">
        <v>287</v>
      </c>
      <c r="BA82" s="34" t="s">
        <v>170</v>
      </c>
      <c r="BC82" s="22">
        <f>AW82+AX82</f>
        <v>0</v>
      </c>
      <c r="BD82" s="22">
        <f>G82/(100-BE82)*100</f>
        <v>0</v>
      </c>
      <c r="BE82" s="22">
        <v>0</v>
      </c>
      <c r="BF82" s="22">
        <f>82</f>
        <v>82</v>
      </c>
      <c r="BH82" s="22">
        <f>F82*AO82</f>
        <v>0</v>
      </c>
      <c r="BI82" s="22">
        <f>F82*AP82</f>
        <v>0</v>
      </c>
      <c r="BJ82" s="22">
        <f>F82*G82</f>
        <v>0</v>
      </c>
      <c r="BK82" s="22"/>
      <c r="BL82" s="22">
        <v>711</v>
      </c>
      <c r="BW82" s="22">
        <v>21</v>
      </c>
    </row>
    <row r="83" spans="1:11" ht="15" customHeight="1">
      <c r="A83" s="47"/>
      <c r="C83" s="48" t="s">
        <v>288</v>
      </c>
      <c r="D83" s="48" t="s">
        <v>294</v>
      </c>
      <c r="F83" s="49">
        <v>1.2100000000000002</v>
      </c>
      <c r="K83" s="50"/>
    </row>
    <row r="84" spans="1:11" ht="27" customHeight="1">
      <c r="A84" s="47"/>
      <c r="B84" s="51" t="s">
        <v>175</v>
      </c>
      <c r="C84" s="268" t="s">
        <v>295</v>
      </c>
      <c r="D84" s="268"/>
      <c r="E84" s="268"/>
      <c r="F84" s="268"/>
      <c r="G84" s="268"/>
      <c r="H84" s="268"/>
      <c r="I84" s="268"/>
      <c r="J84" s="268"/>
      <c r="K84" s="268"/>
    </row>
    <row r="85" spans="1:75" ht="13.5" customHeight="1">
      <c r="A85" s="21" t="s">
        <v>296</v>
      </c>
      <c r="B85" s="3" t="s">
        <v>297</v>
      </c>
      <c r="C85" s="229" t="s">
        <v>298</v>
      </c>
      <c r="D85" s="229"/>
      <c r="E85" s="3" t="s">
        <v>207</v>
      </c>
      <c r="F85" s="22">
        <v>1</v>
      </c>
      <c r="G85" s="22">
        <v>0</v>
      </c>
      <c r="H85" s="22">
        <f>F85*AO85</f>
        <v>0</v>
      </c>
      <c r="I85" s="22">
        <f>F85*AP85</f>
        <v>0</v>
      </c>
      <c r="J85" s="22">
        <f>F85*G85</f>
        <v>0</v>
      </c>
      <c r="K85" s="46" t="s">
        <v>167</v>
      </c>
      <c r="Z85" s="22">
        <f>IF(AQ85="5",BJ85,0)</f>
        <v>0</v>
      </c>
      <c r="AB85" s="22">
        <f>IF(AQ85="1",BH85,0)</f>
        <v>0</v>
      </c>
      <c r="AC85" s="22">
        <f>IF(AQ85="1",BI85,0)</f>
        <v>0</v>
      </c>
      <c r="AD85" s="22">
        <f>IF(AQ85="7",BH85,0)</f>
        <v>0</v>
      </c>
      <c r="AE85" s="22">
        <f>IF(AQ85="7",BI85,0)</f>
        <v>0</v>
      </c>
      <c r="AF85" s="22">
        <f>IF(AQ85="2",BH85,0)</f>
        <v>0</v>
      </c>
      <c r="AG85" s="22">
        <f>IF(AQ85="2",BI85,0)</f>
        <v>0</v>
      </c>
      <c r="AH85" s="22">
        <f>IF(AQ85="0",BJ85,0)</f>
        <v>0</v>
      </c>
      <c r="AI85" s="34"/>
      <c r="AJ85" s="22">
        <f>IF(AN85=0,J85,0)</f>
        <v>0</v>
      </c>
      <c r="AK85" s="22">
        <f>IF(AN85=15,J85,0)</f>
        <v>0</v>
      </c>
      <c r="AL85" s="22">
        <f>IF(AN85=21,J85,0)</f>
        <v>0</v>
      </c>
      <c r="AN85" s="22">
        <v>21</v>
      </c>
      <c r="AO85" s="22">
        <f>G85*0.0661991584852735</f>
        <v>0</v>
      </c>
      <c r="AP85" s="22">
        <f>G85*(1-0.0661991584852735)</f>
        <v>0</v>
      </c>
      <c r="AQ85" s="23" t="s">
        <v>212</v>
      </c>
      <c r="AV85" s="22">
        <f>AW85+AX85</f>
        <v>0</v>
      </c>
      <c r="AW85" s="22">
        <f>F85*AO85</f>
        <v>0</v>
      </c>
      <c r="AX85" s="22">
        <f>F85*AP85</f>
        <v>0</v>
      </c>
      <c r="AY85" s="23" t="s">
        <v>286</v>
      </c>
      <c r="AZ85" s="23" t="s">
        <v>287</v>
      </c>
      <c r="BA85" s="34" t="s">
        <v>170</v>
      </c>
      <c r="BC85" s="22">
        <f>AW85+AX85</f>
        <v>0</v>
      </c>
      <c r="BD85" s="22">
        <f>G85/(100-BE85)*100</f>
        <v>0</v>
      </c>
      <c r="BE85" s="22">
        <v>0</v>
      </c>
      <c r="BF85" s="22">
        <f>85</f>
        <v>85</v>
      </c>
      <c r="BH85" s="22">
        <f>F85*AO85</f>
        <v>0</v>
      </c>
      <c r="BI85" s="22">
        <f>F85*AP85</f>
        <v>0</v>
      </c>
      <c r="BJ85" s="22">
        <f>F85*G85</f>
        <v>0</v>
      </c>
      <c r="BK85" s="22"/>
      <c r="BL85" s="22">
        <v>711</v>
      </c>
      <c r="BW85" s="22">
        <v>21</v>
      </c>
    </row>
    <row r="86" spans="1:11" ht="15" customHeight="1">
      <c r="A86" s="47"/>
      <c r="C86" s="48" t="s">
        <v>163</v>
      </c>
      <c r="D86" s="48" t="s">
        <v>299</v>
      </c>
      <c r="F86" s="49">
        <v>1</v>
      </c>
      <c r="K86" s="50"/>
    </row>
    <row r="87" spans="1:11" ht="13.5" customHeight="1">
      <c r="A87" s="47"/>
      <c r="B87" s="51" t="s">
        <v>175</v>
      </c>
      <c r="C87" s="268" t="s">
        <v>300</v>
      </c>
      <c r="D87" s="268"/>
      <c r="E87" s="268"/>
      <c r="F87" s="268"/>
      <c r="G87" s="268"/>
      <c r="H87" s="268"/>
      <c r="I87" s="268"/>
      <c r="J87" s="268"/>
      <c r="K87" s="268"/>
    </row>
    <row r="88" spans="1:47" ht="15" customHeight="1">
      <c r="A88" s="42"/>
      <c r="B88" s="43" t="s">
        <v>87</v>
      </c>
      <c r="C88" s="267" t="s">
        <v>88</v>
      </c>
      <c r="D88" s="267"/>
      <c r="E88" s="44" t="s">
        <v>58</v>
      </c>
      <c r="F88" s="44" t="s">
        <v>58</v>
      </c>
      <c r="G88" s="44" t="s">
        <v>58</v>
      </c>
      <c r="H88" s="30">
        <f>SUM(H89:H127)</f>
        <v>0</v>
      </c>
      <c r="I88" s="30">
        <f>SUM(I89:I127)</f>
        <v>0</v>
      </c>
      <c r="J88" s="30">
        <f>SUM(J89:J127)</f>
        <v>0</v>
      </c>
      <c r="K88" s="45"/>
      <c r="AI88" s="34"/>
      <c r="AS88" s="30">
        <f>SUM(AJ89:AJ127)</f>
        <v>0</v>
      </c>
      <c r="AT88" s="30">
        <f>SUM(AK89:AK127)</f>
        <v>0</v>
      </c>
      <c r="AU88" s="30">
        <f>SUM(AL89:AL127)</f>
        <v>0</v>
      </c>
    </row>
    <row r="89" spans="1:75" ht="13.5" customHeight="1">
      <c r="A89" s="21" t="s">
        <v>301</v>
      </c>
      <c r="B89" s="3" t="s">
        <v>302</v>
      </c>
      <c r="C89" s="229" t="s">
        <v>303</v>
      </c>
      <c r="D89" s="229"/>
      <c r="E89" s="3" t="s">
        <v>215</v>
      </c>
      <c r="F89" s="22">
        <v>72.105</v>
      </c>
      <c r="G89" s="22">
        <v>0</v>
      </c>
      <c r="H89" s="22">
        <f>F89*AO89</f>
        <v>0</v>
      </c>
      <c r="I89" s="22">
        <f>F89*AP89</f>
        <v>0</v>
      </c>
      <c r="J89" s="22">
        <f>F89*G89</f>
        <v>0</v>
      </c>
      <c r="K89" s="46" t="s">
        <v>167</v>
      </c>
      <c r="Z89" s="22">
        <f>IF(AQ89="5",BJ89,0)</f>
        <v>0</v>
      </c>
      <c r="AB89" s="22">
        <f>IF(AQ89="1",BH89,0)</f>
        <v>0</v>
      </c>
      <c r="AC89" s="22">
        <f>IF(AQ89="1",BI89,0)</f>
        <v>0</v>
      </c>
      <c r="AD89" s="22">
        <f>IF(AQ89="7",BH89,0)</f>
        <v>0</v>
      </c>
      <c r="AE89" s="22">
        <f>IF(AQ89="7",BI89,0)</f>
        <v>0</v>
      </c>
      <c r="AF89" s="22">
        <f>IF(AQ89="2",BH89,0)</f>
        <v>0</v>
      </c>
      <c r="AG89" s="22">
        <f>IF(AQ89="2",BI89,0)</f>
        <v>0</v>
      </c>
      <c r="AH89" s="22">
        <f>IF(AQ89="0",BJ89,0)</f>
        <v>0</v>
      </c>
      <c r="AI89" s="34"/>
      <c r="AJ89" s="22">
        <f>IF(AN89=0,J89,0)</f>
        <v>0</v>
      </c>
      <c r="AK89" s="22">
        <f>IF(AN89=15,J89,0)</f>
        <v>0</v>
      </c>
      <c r="AL89" s="22">
        <f>IF(AN89=21,J89,0)</f>
        <v>0</v>
      </c>
      <c r="AN89" s="22">
        <v>21</v>
      </c>
      <c r="AO89" s="22">
        <f>G89*0</f>
        <v>0</v>
      </c>
      <c r="AP89" s="22">
        <f>G89*(1-0)</f>
        <v>0</v>
      </c>
      <c r="AQ89" s="23" t="s">
        <v>212</v>
      </c>
      <c r="AV89" s="22">
        <f>AW89+AX89</f>
        <v>0</v>
      </c>
      <c r="AW89" s="22">
        <f>F89*AO89</f>
        <v>0</v>
      </c>
      <c r="AX89" s="22">
        <f>F89*AP89</f>
        <v>0</v>
      </c>
      <c r="AY89" s="23" t="s">
        <v>304</v>
      </c>
      <c r="AZ89" s="23" t="s">
        <v>287</v>
      </c>
      <c r="BA89" s="34" t="s">
        <v>170</v>
      </c>
      <c r="BC89" s="22">
        <f>AW89+AX89</f>
        <v>0</v>
      </c>
      <c r="BD89" s="22">
        <f>G89/(100-BE89)*100</f>
        <v>0</v>
      </c>
      <c r="BE89" s="22">
        <v>0</v>
      </c>
      <c r="BF89" s="22">
        <f>89</f>
        <v>89</v>
      </c>
      <c r="BH89" s="22">
        <f>F89*AO89</f>
        <v>0</v>
      </c>
      <c r="BI89" s="22">
        <f>F89*AP89</f>
        <v>0</v>
      </c>
      <c r="BJ89" s="22">
        <f>F89*G89</f>
        <v>0</v>
      </c>
      <c r="BK89" s="22"/>
      <c r="BL89" s="22">
        <v>713</v>
      </c>
      <c r="BW89" s="22">
        <v>21</v>
      </c>
    </row>
    <row r="90" spans="1:11" ht="15" customHeight="1">
      <c r="A90" s="47"/>
      <c r="C90" s="48" t="s">
        <v>305</v>
      </c>
      <c r="D90" s="48" t="s">
        <v>306</v>
      </c>
      <c r="F90" s="49">
        <v>17.8425</v>
      </c>
      <c r="K90" s="50"/>
    </row>
    <row r="91" spans="1:11" ht="15" customHeight="1">
      <c r="A91" s="47"/>
      <c r="C91" s="48" t="s">
        <v>307</v>
      </c>
      <c r="D91" s="48" t="s">
        <v>308</v>
      </c>
      <c r="F91" s="49">
        <v>13.725000000000001</v>
      </c>
      <c r="K91" s="50"/>
    </row>
    <row r="92" spans="1:11" ht="15" customHeight="1">
      <c r="A92" s="47"/>
      <c r="C92" s="48" t="s">
        <v>309</v>
      </c>
      <c r="D92" s="48" t="s">
        <v>310</v>
      </c>
      <c r="F92" s="49">
        <v>22.9125</v>
      </c>
      <c r="K92" s="50"/>
    </row>
    <row r="93" spans="1:11" ht="15" customHeight="1">
      <c r="A93" s="47"/>
      <c r="C93" s="48" t="s">
        <v>311</v>
      </c>
      <c r="D93" s="48" t="s">
        <v>312</v>
      </c>
      <c r="F93" s="49">
        <v>17.625</v>
      </c>
      <c r="K93" s="50"/>
    </row>
    <row r="94" spans="1:75" ht="27" customHeight="1">
      <c r="A94" s="21" t="s">
        <v>313</v>
      </c>
      <c r="B94" s="3" t="s">
        <v>314</v>
      </c>
      <c r="C94" s="229" t="s">
        <v>315</v>
      </c>
      <c r="D94" s="229"/>
      <c r="E94" s="3" t="s">
        <v>215</v>
      </c>
      <c r="F94" s="22">
        <v>96.4288</v>
      </c>
      <c r="G94" s="22">
        <v>0</v>
      </c>
      <c r="H94" s="22">
        <f>F94*AO94</f>
        <v>0</v>
      </c>
      <c r="I94" s="22">
        <f>F94*AP94</f>
        <v>0</v>
      </c>
      <c r="J94" s="22">
        <f>F94*G94</f>
        <v>0</v>
      </c>
      <c r="K94" s="46" t="s">
        <v>167</v>
      </c>
      <c r="Z94" s="22">
        <f>IF(AQ94="5",BJ94,0)</f>
        <v>0</v>
      </c>
      <c r="AB94" s="22">
        <f>IF(AQ94="1",BH94,0)</f>
        <v>0</v>
      </c>
      <c r="AC94" s="22">
        <f>IF(AQ94="1",BI94,0)</f>
        <v>0</v>
      </c>
      <c r="AD94" s="22">
        <f>IF(AQ94="7",BH94,0)</f>
        <v>0</v>
      </c>
      <c r="AE94" s="22">
        <f>IF(AQ94="7",BI94,0)</f>
        <v>0</v>
      </c>
      <c r="AF94" s="22">
        <f>IF(AQ94="2",BH94,0)</f>
        <v>0</v>
      </c>
      <c r="AG94" s="22">
        <f>IF(AQ94="2",BI94,0)</f>
        <v>0</v>
      </c>
      <c r="AH94" s="22">
        <f>IF(AQ94="0",BJ94,0)</f>
        <v>0</v>
      </c>
      <c r="AI94" s="34"/>
      <c r="AJ94" s="22">
        <f>IF(AN94=0,J94,0)</f>
        <v>0</v>
      </c>
      <c r="AK94" s="22">
        <f>IF(AN94=15,J94,0)</f>
        <v>0</v>
      </c>
      <c r="AL94" s="22">
        <f>IF(AN94=21,J94,0)</f>
        <v>0</v>
      </c>
      <c r="AN94" s="22">
        <v>21</v>
      </c>
      <c r="AO94" s="22">
        <f>G94*0</f>
        <v>0</v>
      </c>
      <c r="AP94" s="22">
        <f>G94*(1-0)</f>
        <v>0</v>
      </c>
      <c r="AQ94" s="23" t="s">
        <v>212</v>
      </c>
      <c r="AV94" s="22">
        <f>AW94+AX94</f>
        <v>0</v>
      </c>
      <c r="AW94" s="22">
        <f>F94*AO94</f>
        <v>0</v>
      </c>
      <c r="AX94" s="22">
        <f>F94*AP94</f>
        <v>0</v>
      </c>
      <c r="AY94" s="23" t="s">
        <v>304</v>
      </c>
      <c r="AZ94" s="23" t="s">
        <v>287</v>
      </c>
      <c r="BA94" s="34" t="s">
        <v>170</v>
      </c>
      <c r="BC94" s="22">
        <f>AW94+AX94</f>
        <v>0</v>
      </c>
      <c r="BD94" s="22">
        <f>G94/(100-BE94)*100</f>
        <v>0</v>
      </c>
      <c r="BE94" s="22">
        <v>0</v>
      </c>
      <c r="BF94" s="22">
        <f>94</f>
        <v>94</v>
      </c>
      <c r="BH94" s="22">
        <f>F94*AO94</f>
        <v>0</v>
      </c>
      <c r="BI94" s="22">
        <f>F94*AP94</f>
        <v>0</v>
      </c>
      <c r="BJ94" s="22">
        <f>F94*G94</f>
        <v>0</v>
      </c>
      <c r="BK94" s="22"/>
      <c r="BL94" s="22">
        <v>713</v>
      </c>
      <c r="BW94" s="22">
        <v>21</v>
      </c>
    </row>
    <row r="95" spans="1:11" ht="15" customHeight="1">
      <c r="A95" s="47"/>
      <c r="C95" s="48" t="s">
        <v>316</v>
      </c>
      <c r="D95" s="48" t="s">
        <v>317</v>
      </c>
      <c r="F95" s="49">
        <v>45.052800000000005</v>
      </c>
      <c r="K95" s="50"/>
    </row>
    <row r="96" spans="1:11" ht="15" customHeight="1">
      <c r="A96" s="47"/>
      <c r="C96" s="48" t="s">
        <v>318</v>
      </c>
      <c r="D96" s="48" t="s">
        <v>319</v>
      </c>
      <c r="F96" s="49">
        <v>51.376000000000005</v>
      </c>
      <c r="K96" s="50"/>
    </row>
    <row r="97" spans="1:75" ht="13.5" customHeight="1">
      <c r="A97" s="21" t="s">
        <v>320</v>
      </c>
      <c r="B97" s="3" t="s">
        <v>321</v>
      </c>
      <c r="C97" s="229" t="s">
        <v>322</v>
      </c>
      <c r="D97" s="229"/>
      <c r="E97" s="3" t="s">
        <v>323</v>
      </c>
      <c r="F97" s="22">
        <v>2.114</v>
      </c>
      <c r="G97" s="22">
        <v>0</v>
      </c>
      <c r="H97" s="22">
        <f>F97*AO97</f>
        <v>0</v>
      </c>
      <c r="I97" s="22">
        <f>F97*AP97</f>
        <v>0</v>
      </c>
      <c r="J97" s="22">
        <f>F97*G97</f>
        <v>0</v>
      </c>
      <c r="K97" s="46" t="s">
        <v>167</v>
      </c>
      <c r="Z97" s="22">
        <f>IF(AQ97="5",BJ97,0)</f>
        <v>0</v>
      </c>
      <c r="AB97" s="22">
        <f>IF(AQ97="1",BH97,0)</f>
        <v>0</v>
      </c>
      <c r="AC97" s="22">
        <f>IF(AQ97="1",BI97,0)</f>
        <v>0</v>
      </c>
      <c r="AD97" s="22">
        <f>IF(AQ97="7",BH97,0)</f>
        <v>0</v>
      </c>
      <c r="AE97" s="22">
        <f>IF(AQ97="7",BI97,0)</f>
        <v>0</v>
      </c>
      <c r="AF97" s="22">
        <f>IF(AQ97="2",BH97,0)</f>
        <v>0</v>
      </c>
      <c r="AG97" s="22">
        <f>IF(AQ97="2",BI97,0)</f>
        <v>0</v>
      </c>
      <c r="AH97" s="22">
        <f>IF(AQ97="0",BJ97,0)</f>
        <v>0</v>
      </c>
      <c r="AI97" s="34"/>
      <c r="AJ97" s="22">
        <f>IF(AN97=0,J97,0)</f>
        <v>0</v>
      </c>
      <c r="AK97" s="22">
        <f>IF(AN97=15,J97,0)</f>
        <v>0</v>
      </c>
      <c r="AL97" s="22">
        <f>IF(AN97=21,J97,0)</f>
        <v>0</v>
      </c>
      <c r="AN97" s="22">
        <v>21</v>
      </c>
      <c r="AO97" s="22">
        <f>G97*0</f>
        <v>0</v>
      </c>
      <c r="AP97" s="22">
        <f>G97*(1-0)</f>
        <v>0</v>
      </c>
      <c r="AQ97" s="23" t="s">
        <v>194</v>
      </c>
      <c r="AV97" s="22">
        <f>AW97+AX97</f>
        <v>0</v>
      </c>
      <c r="AW97" s="22">
        <f>F97*AO97</f>
        <v>0</v>
      </c>
      <c r="AX97" s="22">
        <f>F97*AP97</f>
        <v>0</v>
      </c>
      <c r="AY97" s="23" t="s">
        <v>304</v>
      </c>
      <c r="AZ97" s="23" t="s">
        <v>287</v>
      </c>
      <c r="BA97" s="34" t="s">
        <v>170</v>
      </c>
      <c r="BC97" s="22">
        <f>AW97+AX97</f>
        <v>0</v>
      </c>
      <c r="BD97" s="22">
        <f>G97/(100-BE97)*100</f>
        <v>0</v>
      </c>
      <c r="BE97" s="22">
        <v>0</v>
      </c>
      <c r="BF97" s="22">
        <f>97</f>
        <v>97</v>
      </c>
      <c r="BH97" s="22">
        <f>F97*AO97</f>
        <v>0</v>
      </c>
      <c r="BI97" s="22">
        <f>F97*AP97</f>
        <v>0</v>
      </c>
      <c r="BJ97" s="22">
        <f>F97*G97</f>
        <v>0</v>
      </c>
      <c r="BK97" s="22"/>
      <c r="BL97" s="22">
        <v>713</v>
      </c>
      <c r="BW97" s="22">
        <v>21</v>
      </c>
    </row>
    <row r="98" spans="1:11" ht="15" customHeight="1">
      <c r="A98" s="47"/>
      <c r="C98" s="48" t="s">
        <v>324</v>
      </c>
      <c r="D98" s="48"/>
      <c r="F98" s="49">
        <v>2.1140000000000003</v>
      </c>
      <c r="K98" s="50"/>
    </row>
    <row r="99" spans="1:11" ht="27" customHeight="1">
      <c r="A99" s="47"/>
      <c r="B99" s="51" t="s">
        <v>175</v>
      </c>
      <c r="C99" s="268" t="s">
        <v>325</v>
      </c>
      <c r="D99" s="268"/>
      <c r="E99" s="268"/>
      <c r="F99" s="268"/>
      <c r="G99" s="268"/>
      <c r="H99" s="268"/>
      <c r="I99" s="268"/>
      <c r="J99" s="268"/>
      <c r="K99" s="268"/>
    </row>
    <row r="100" spans="1:75" ht="13.5" customHeight="1">
      <c r="A100" s="21" t="s">
        <v>326</v>
      </c>
      <c r="B100" s="3" t="s">
        <v>327</v>
      </c>
      <c r="C100" s="229" t="s">
        <v>328</v>
      </c>
      <c r="D100" s="229"/>
      <c r="E100" s="3" t="s">
        <v>323</v>
      </c>
      <c r="F100" s="22">
        <v>2.114</v>
      </c>
      <c r="G100" s="22">
        <v>0</v>
      </c>
      <c r="H100" s="22">
        <f>F100*AO100</f>
        <v>0</v>
      </c>
      <c r="I100" s="22">
        <f>F100*AP100</f>
        <v>0</v>
      </c>
      <c r="J100" s="22">
        <f>F100*G100</f>
        <v>0</v>
      </c>
      <c r="K100" s="46" t="s">
        <v>167</v>
      </c>
      <c r="Z100" s="22">
        <f>IF(AQ100="5",BJ100,0)</f>
        <v>0</v>
      </c>
      <c r="AB100" s="22">
        <f>IF(AQ100="1",BH100,0)</f>
        <v>0</v>
      </c>
      <c r="AC100" s="22">
        <f>IF(AQ100="1",BI100,0)</f>
        <v>0</v>
      </c>
      <c r="AD100" s="22">
        <f>IF(AQ100="7",BH100,0)</f>
        <v>0</v>
      </c>
      <c r="AE100" s="22">
        <f>IF(AQ100="7",BI100,0)</f>
        <v>0</v>
      </c>
      <c r="AF100" s="22">
        <f>IF(AQ100="2",BH100,0)</f>
        <v>0</v>
      </c>
      <c r="AG100" s="22">
        <f>IF(AQ100="2",BI100,0)</f>
        <v>0</v>
      </c>
      <c r="AH100" s="22">
        <f>IF(AQ100="0",BJ100,0)</f>
        <v>0</v>
      </c>
      <c r="AI100" s="34"/>
      <c r="AJ100" s="22">
        <f>IF(AN100=0,J100,0)</f>
        <v>0</v>
      </c>
      <c r="AK100" s="22">
        <f>IF(AN100=15,J100,0)</f>
        <v>0</v>
      </c>
      <c r="AL100" s="22">
        <f>IF(AN100=21,J100,0)</f>
        <v>0</v>
      </c>
      <c r="AN100" s="22">
        <v>21</v>
      </c>
      <c r="AO100" s="22">
        <f>G100*0</f>
        <v>0</v>
      </c>
      <c r="AP100" s="22">
        <f>G100*(1-0)</f>
        <v>0</v>
      </c>
      <c r="AQ100" s="23" t="s">
        <v>194</v>
      </c>
      <c r="AV100" s="22">
        <f>AW100+AX100</f>
        <v>0</v>
      </c>
      <c r="AW100" s="22">
        <f>F100*AO100</f>
        <v>0</v>
      </c>
      <c r="AX100" s="22">
        <f>F100*AP100</f>
        <v>0</v>
      </c>
      <c r="AY100" s="23" t="s">
        <v>304</v>
      </c>
      <c r="AZ100" s="23" t="s">
        <v>287</v>
      </c>
      <c r="BA100" s="34" t="s">
        <v>170</v>
      </c>
      <c r="BC100" s="22">
        <f>AW100+AX100</f>
        <v>0</v>
      </c>
      <c r="BD100" s="22">
        <f>G100/(100-BE100)*100</f>
        <v>0</v>
      </c>
      <c r="BE100" s="22">
        <v>0</v>
      </c>
      <c r="BF100" s="22">
        <f>100</f>
        <v>100</v>
      </c>
      <c r="BH100" s="22">
        <f>F100*AO100</f>
        <v>0</v>
      </c>
      <c r="BI100" s="22">
        <f>F100*AP100</f>
        <v>0</v>
      </c>
      <c r="BJ100" s="22">
        <f>F100*G100</f>
        <v>0</v>
      </c>
      <c r="BK100" s="22"/>
      <c r="BL100" s="22">
        <v>713</v>
      </c>
      <c r="BW100" s="22">
        <v>21</v>
      </c>
    </row>
    <row r="101" spans="1:11" ht="15" customHeight="1">
      <c r="A101" s="47"/>
      <c r="C101" s="48" t="s">
        <v>324</v>
      </c>
      <c r="D101" s="48"/>
      <c r="F101" s="49">
        <v>2.1140000000000003</v>
      </c>
      <c r="K101" s="50"/>
    </row>
    <row r="102" spans="1:11" ht="13.5" customHeight="1">
      <c r="A102" s="47"/>
      <c r="B102" s="51" t="s">
        <v>175</v>
      </c>
      <c r="C102" s="268" t="s">
        <v>329</v>
      </c>
      <c r="D102" s="268"/>
      <c r="E102" s="268"/>
      <c r="F102" s="268"/>
      <c r="G102" s="268"/>
      <c r="H102" s="268"/>
      <c r="I102" s="268"/>
      <c r="J102" s="268"/>
      <c r="K102" s="268"/>
    </row>
    <row r="103" spans="1:75" ht="13.5" customHeight="1">
      <c r="A103" s="21" t="s">
        <v>330</v>
      </c>
      <c r="B103" s="3" t="s">
        <v>331</v>
      </c>
      <c r="C103" s="229" t="s">
        <v>332</v>
      </c>
      <c r="D103" s="229"/>
      <c r="E103" s="3" t="s">
        <v>323</v>
      </c>
      <c r="F103" s="22">
        <v>2.114</v>
      </c>
      <c r="G103" s="22">
        <v>0</v>
      </c>
      <c r="H103" s="22">
        <f>F103*AO103</f>
        <v>0</v>
      </c>
      <c r="I103" s="22">
        <f>F103*AP103</f>
        <v>0</v>
      </c>
      <c r="J103" s="22">
        <f>F103*G103</f>
        <v>0</v>
      </c>
      <c r="K103" s="46" t="s">
        <v>167</v>
      </c>
      <c r="Z103" s="22">
        <f>IF(AQ103="5",BJ103,0)</f>
        <v>0</v>
      </c>
      <c r="AB103" s="22">
        <f>IF(AQ103="1",BH103,0)</f>
        <v>0</v>
      </c>
      <c r="AC103" s="22">
        <f>IF(AQ103="1",BI103,0)</f>
        <v>0</v>
      </c>
      <c r="AD103" s="22">
        <f>IF(AQ103="7",BH103,0)</f>
        <v>0</v>
      </c>
      <c r="AE103" s="22">
        <f>IF(AQ103="7",BI103,0)</f>
        <v>0</v>
      </c>
      <c r="AF103" s="22">
        <f>IF(AQ103="2",BH103,0)</f>
        <v>0</v>
      </c>
      <c r="AG103" s="22">
        <f>IF(AQ103="2",BI103,0)</f>
        <v>0</v>
      </c>
      <c r="AH103" s="22">
        <f>IF(AQ103="0",BJ103,0)</f>
        <v>0</v>
      </c>
      <c r="AI103" s="34"/>
      <c r="AJ103" s="22">
        <f>IF(AN103=0,J103,0)</f>
        <v>0</v>
      </c>
      <c r="AK103" s="22">
        <f>IF(AN103=15,J103,0)</f>
        <v>0</v>
      </c>
      <c r="AL103" s="22">
        <f>IF(AN103=21,J103,0)</f>
        <v>0</v>
      </c>
      <c r="AN103" s="22">
        <v>21</v>
      </c>
      <c r="AO103" s="22">
        <f>G103*0.0142512212596887</f>
        <v>0</v>
      </c>
      <c r="AP103" s="22">
        <f>G103*(1-0.0142512212596887)</f>
        <v>0</v>
      </c>
      <c r="AQ103" s="23" t="s">
        <v>194</v>
      </c>
      <c r="AV103" s="22">
        <f>AW103+AX103</f>
        <v>0</v>
      </c>
      <c r="AW103" s="22">
        <f>F103*AO103</f>
        <v>0</v>
      </c>
      <c r="AX103" s="22">
        <f>F103*AP103</f>
        <v>0</v>
      </c>
      <c r="AY103" s="23" t="s">
        <v>304</v>
      </c>
      <c r="AZ103" s="23" t="s">
        <v>287</v>
      </c>
      <c r="BA103" s="34" t="s">
        <v>170</v>
      </c>
      <c r="BC103" s="22">
        <f>AW103+AX103</f>
        <v>0</v>
      </c>
      <c r="BD103" s="22">
        <f>G103/(100-BE103)*100</f>
        <v>0</v>
      </c>
      <c r="BE103" s="22">
        <v>0</v>
      </c>
      <c r="BF103" s="22">
        <f>103</f>
        <v>103</v>
      </c>
      <c r="BH103" s="22">
        <f>F103*AO103</f>
        <v>0</v>
      </c>
      <c r="BI103" s="22">
        <f>F103*AP103</f>
        <v>0</v>
      </c>
      <c r="BJ103" s="22">
        <f>F103*G103</f>
        <v>0</v>
      </c>
      <c r="BK103" s="22"/>
      <c r="BL103" s="22">
        <v>713</v>
      </c>
      <c r="BW103" s="22">
        <v>21</v>
      </c>
    </row>
    <row r="104" spans="1:11" ht="15" customHeight="1">
      <c r="A104" s="47"/>
      <c r="C104" s="48" t="s">
        <v>324</v>
      </c>
      <c r="D104" s="48"/>
      <c r="F104" s="49">
        <v>2.1140000000000003</v>
      </c>
      <c r="K104" s="50"/>
    </row>
    <row r="105" spans="1:11" ht="13.5" customHeight="1">
      <c r="A105" s="47"/>
      <c r="B105" s="51" t="s">
        <v>175</v>
      </c>
      <c r="C105" s="268" t="s">
        <v>333</v>
      </c>
      <c r="D105" s="268"/>
      <c r="E105" s="268"/>
      <c r="F105" s="268"/>
      <c r="G105" s="268"/>
      <c r="H105" s="268"/>
      <c r="I105" s="268"/>
      <c r="J105" s="268"/>
      <c r="K105" s="268"/>
    </row>
    <row r="106" spans="1:75" ht="13.5" customHeight="1">
      <c r="A106" s="21" t="s">
        <v>73</v>
      </c>
      <c r="B106" s="3" t="s">
        <v>334</v>
      </c>
      <c r="C106" s="229" t="s">
        <v>335</v>
      </c>
      <c r="D106" s="229"/>
      <c r="E106" s="3" t="s">
        <v>323</v>
      </c>
      <c r="F106" s="22">
        <v>2.114</v>
      </c>
      <c r="G106" s="22">
        <v>0</v>
      </c>
      <c r="H106" s="22">
        <f>F106*AO106</f>
        <v>0</v>
      </c>
      <c r="I106" s="22">
        <f>F106*AP106</f>
        <v>0</v>
      </c>
      <c r="J106" s="22">
        <f>F106*G106</f>
        <v>0</v>
      </c>
      <c r="K106" s="46" t="s">
        <v>167</v>
      </c>
      <c r="Z106" s="22">
        <f>IF(AQ106="5",BJ106,0)</f>
        <v>0</v>
      </c>
      <c r="AB106" s="22">
        <f>IF(AQ106="1",BH106,0)</f>
        <v>0</v>
      </c>
      <c r="AC106" s="22">
        <f>IF(AQ106="1",BI106,0)</f>
        <v>0</v>
      </c>
      <c r="AD106" s="22">
        <f>IF(AQ106="7",BH106,0)</f>
        <v>0</v>
      </c>
      <c r="AE106" s="22">
        <f>IF(AQ106="7",BI106,0)</f>
        <v>0</v>
      </c>
      <c r="AF106" s="22">
        <f>IF(AQ106="2",BH106,0)</f>
        <v>0</v>
      </c>
      <c r="AG106" s="22">
        <f>IF(AQ106="2",BI106,0)</f>
        <v>0</v>
      </c>
      <c r="AH106" s="22">
        <f>IF(AQ106="0",BJ106,0)</f>
        <v>0</v>
      </c>
      <c r="AI106" s="34"/>
      <c r="AJ106" s="22">
        <f>IF(AN106=0,J106,0)</f>
        <v>0</v>
      </c>
      <c r="AK106" s="22">
        <f>IF(AN106=15,J106,0)</f>
        <v>0</v>
      </c>
      <c r="AL106" s="22">
        <f>IF(AN106=21,J106,0)</f>
        <v>0</v>
      </c>
      <c r="AN106" s="22">
        <v>21</v>
      </c>
      <c r="AO106" s="22">
        <f>G106*0</f>
        <v>0</v>
      </c>
      <c r="AP106" s="22">
        <f>G106*(1-0)</f>
        <v>0</v>
      </c>
      <c r="AQ106" s="23" t="s">
        <v>194</v>
      </c>
      <c r="AV106" s="22">
        <f>AW106+AX106</f>
        <v>0</v>
      </c>
      <c r="AW106" s="22">
        <f>F106*AO106</f>
        <v>0</v>
      </c>
      <c r="AX106" s="22">
        <f>F106*AP106</f>
        <v>0</v>
      </c>
      <c r="AY106" s="23" t="s">
        <v>304</v>
      </c>
      <c r="AZ106" s="23" t="s">
        <v>287</v>
      </c>
      <c r="BA106" s="34" t="s">
        <v>170</v>
      </c>
      <c r="BC106" s="22">
        <f>AW106+AX106</f>
        <v>0</v>
      </c>
      <c r="BD106" s="22">
        <f>G106/(100-BE106)*100</f>
        <v>0</v>
      </c>
      <c r="BE106" s="22">
        <v>0</v>
      </c>
      <c r="BF106" s="22">
        <f>106</f>
        <v>106</v>
      </c>
      <c r="BH106" s="22">
        <f>F106*AO106</f>
        <v>0</v>
      </c>
      <c r="BI106" s="22">
        <f>F106*AP106</f>
        <v>0</v>
      </c>
      <c r="BJ106" s="22">
        <f>F106*G106</f>
        <v>0</v>
      </c>
      <c r="BK106" s="22"/>
      <c r="BL106" s="22">
        <v>713</v>
      </c>
      <c r="BW106" s="22">
        <v>21</v>
      </c>
    </row>
    <row r="107" spans="1:11" ht="15" customHeight="1">
      <c r="A107" s="47"/>
      <c r="C107" s="48" t="s">
        <v>324</v>
      </c>
      <c r="D107" s="48"/>
      <c r="F107" s="49">
        <v>2.1140000000000003</v>
      </c>
      <c r="K107" s="50"/>
    </row>
    <row r="108" spans="1:75" ht="13.5" customHeight="1">
      <c r="A108" s="21" t="s">
        <v>336</v>
      </c>
      <c r="B108" s="3" t="s">
        <v>337</v>
      </c>
      <c r="C108" s="229" t="s">
        <v>338</v>
      </c>
      <c r="D108" s="229"/>
      <c r="E108" s="3" t="s">
        <v>323</v>
      </c>
      <c r="F108" s="22">
        <v>2.114</v>
      </c>
      <c r="G108" s="22">
        <v>0</v>
      </c>
      <c r="H108" s="22">
        <f>F108*AO108</f>
        <v>0</v>
      </c>
      <c r="I108" s="22">
        <f>F108*AP108</f>
        <v>0</v>
      </c>
      <c r="J108" s="22">
        <f>F108*G108</f>
        <v>0</v>
      </c>
      <c r="K108" s="46" t="s">
        <v>167</v>
      </c>
      <c r="Z108" s="22">
        <f>IF(AQ108="5",BJ108,0)</f>
        <v>0</v>
      </c>
      <c r="AB108" s="22">
        <f>IF(AQ108="1",BH108,0)</f>
        <v>0</v>
      </c>
      <c r="AC108" s="22">
        <f>IF(AQ108="1",BI108,0)</f>
        <v>0</v>
      </c>
      <c r="AD108" s="22">
        <f>IF(AQ108="7",BH108,0)</f>
        <v>0</v>
      </c>
      <c r="AE108" s="22">
        <f>IF(AQ108="7",BI108,0)</f>
        <v>0</v>
      </c>
      <c r="AF108" s="22">
        <f>IF(AQ108="2",BH108,0)</f>
        <v>0</v>
      </c>
      <c r="AG108" s="22">
        <f>IF(AQ108="2",BI108,0)</f>
        <v>0</v>
      </c>
      <c r="AH108" s="22">
        <f>IF(AQ108="0",BJ108,0)</f>
        <v>0</v>
      </c>
      <c r="AI108" s="34"/>
      <c r="AJ108" s="22">
        <f>IF(AN108=0,J108,0)</f>
        <v>0</v>
      </c>
      <c r="AK108" s="22">
        <f>IF(AN108=15,J108,0)</f>
        <v>0</v>
      </c>
      <c r="AL108" s="22">
        <f>IF(AN108=21,J108,0)</f>
        <v>0</v>
      </c>
      <c r="AN108" s="22">
        <v>21</v>
      </c>
      <c r="AO108" s="22">
        <f>G108*0</f>
        <v>0</v>
      </c>
      <c r="AP108" s="22">
        <f>G108*(1-0)</f>
        <v>0</v>
      </c>
      <c r="AQ108" s="23" t="s">
        <v>194</v>
      </c>
      <c r="AV108" s="22">
        <f>AW108+AX108</f>
        <v>0</v>
      </c>
      <c r="AW108" s="22">
        <f>F108*AO108</f>
        <v>0</v>
      </c>
      <c r="AX108" s="22">
        <f>F108*AP108</f>
        <v>0</v>
      </c>
      <c r="AY108" s="23" t="s">
        <v>304</v>
      </c>
      <c r="AZ108" s="23" t="s">
        <v>287</v>
      </c>
      <c r="BA108" s="34" t="s">
        <v>170</v>
      </c>
      <c r="BC108" s="22">
        <f>AW108+AX108</f>
        <v>0</v>
      </c>
      <c r="BD108" s="22">
        <f>G108/(100-BE108)*100</f>
        <v>0</v>
      </c>
      <c r="BE108" s="22">
        <v>0</v>
      </c>
      <c r="BF108" s="22">
        <f>108</f>
        <v>108</v>
      </c>
      <c r="BH108" s="22">
        <f>F108*AO108</f>
        <v>0</v>
      </c>
      <c r="BI108" s="22">
        <f>F108*AP108</f>
        <v>0</v>
      </c>
      <c r="BJ108" s="22">
        <f>F108*G108</f>
        <v>0</v>
      </c>
      <c r="BK108" s="22"/>
      <c r="BL108" s="22">
        <v>713</v>
      </c>
      <c r="BW108" s="22">
        <v>21</v>
      </c>
    </row>
    <row r="109" spans="1:11" ht="15" customHeight="1">
      <c r="A109" s="47"/>
      <c r="C109" s="48" t="s">
        <v>324</v>
      </c>
      <c r="D109" s="48"/>
      <c r="F109" s="49">
        <v>2.1140000000000003</v>
      </c>
      <c r="K109" s="50"/>
    </row>
    <row r="110" spans="1:75" ht="13.5" customHeight="1">
      <c r="A110" s="21" t="s">
        <v>339</v>
      </c>
      <c r="B110" s="3" t="s">
        <v>340</v>
      </c>
      <c r="C110" s="229" t="s">
        <v>341</v>
      </c>
      <c r="D110" s="229"/>
      <c r="E110" s="3" t="s">
        <v>215</v>
      </c>
      <c r="F110" s="22">
        <v>5.49</v>
      </c>
      <c r="G110" s="22">
        <v>0</v>
      </c>
      <c r="H110" s="22">
        <f>F110*AO110</f>
        <v>0</v>
      </c>
      <c r="I110" s="22">
        <f>F110*AP110</f>
        <v>0</v>
      </c>
      <c r="J110" s="22">
        <f>F110*G110</f>
        <v>0</v>
      </c>
      <c r="K110" s="46" t="s">
        <v>167</v>
      </c>
      <c r="Z110" s="22">
        <f>IF(AQ110="5",BJ110,0)</f>
        <v>0</v>
      </c>
      <c r="AB110" s="22">
        <f>IF(AQ110="1",BH110,0)</f>
        <v>0</v>
      </c>
      <c r="AC110" s="22">
        <f>IF(AQ110="1",BI110,0)</f>
        <v>0</v>
      </c>
      <c r="AD110" s="22">
        <f>IF(AQ110="7",BH110,0)</f>
        <v>0</v>
      </c>
      <c r="AE110" s="22">
        <f>IF(AQ110="7",BI110,0)</f>
        <v>0</v>
      </c>
      <c r="AF110" s="22">
        <f>IF(AQ110="2",BH110,0)</f>
        <v>0</v>
      </c>
      <c r="AG110" s="22">
        <f>IF(AQ110="2",BI110,0)</f>
        <v>0</v>
      </c>
      <c r="AH110" s="22">
        <f>IF(AQ110="0",BJ110,0)</f>
        <v>0</v>
      </c>
      <c r="AI110" s="34"/>
      <c r="AJ110" s="22">
        <f>IF(AN110=0,J110,0)</f>
        <v>0</v>
      </c>
      <c r="AK110" s="22">
        <f>IF(AN110=15,J110,0)</f>
        <v>0</v>
      </c>
      <c r="AL110" s="22">
        <f>IF(AN110=21,J110,0)</f>
        <v>0</v>
      </c>
      <c r="AN110" s="22">
        <v>21</v>
      </c>
      <c r="AO110" s="22">
        <f>G110*0</f>
        <v>0</v>
      </c>
      <c r="AP110" s="22">
        <f>G110*(1-0)</f>
        <v>0</v>
      </c>
      <c r="AQ110" s="23" t="s">
        <v>212</v>
      </c>
      <c r="AV110" s="22">
        <f>AW110+AX110</f>
        <v>0</v>
      </c>
      <c r="AW110" s="22">
        <f>F110*AO110</f>
        <v>0</v>
      </c>
      <c r="AX110" s="22">
        <f>F110*AP110</f>
        <v>0</v>
      </c>
      <c r="AY110" s="23" t="s">
        <v>304</v>
      </c>
      <c r="AZ110" s="23" t="s">
        <v>287</v>
      </c>
      <c r="BA110" s="34" t="s">
        <v>170</v>
      </c>
      <c r="BC110" s="22">
        <f>AW110+AX110</f>
        <v>0</v>
      </c>
      <c r="BD110" s="22">
        <f>G110/(100-BE110)*100</f>
        <v>0</v>
      </c>
      <c r="BE110" s="22">
        <v>0</v>
      </c>
      <c r="BF110" s="22">
        <f>110</f>
        <v>110</v>
      </c>
      <c r="BH110" s="22">
        <f>F110*AO110</f>
        <v>0</v>
      </c>
      <c r="BI110" s="22">
        <f>F110*AP110</f>
        <v>0</v>
      </c>
      <c r="BJ110" s="22">
        <f>F110*G110</f>
        <v>0</v>
      </c>
      <c r="BK110" s="22"/>
      <c r="BL110" s="22">
        <v>713</v>
      </c>
      <c r="BW110" s="22">
        <v>21</v>
      </c>
    </row>
    <row r="111" spans="1:11" ht="15" customHeight="1">
      <c r="A111" s="47"/>
      <c r="C111" s="48" t="s">
        <v>342</v>
      </c>
      <c r="D111" s="48"/>
      <c r="F111" s="49">
        <v>5.49</v>
      </c>
      <c r="K111" s="50"/>
    </row>
    <row r="112" spans="1:11" ht="27" customHeight="1">
      <c r="A112" s="47"/>
      <c r="B112" s="51" t="s">
        <v>175</v>
      </c>
      <c r="C112" s="268" t="s">
        <v>343</v>
      </c>
      <c r="D112" s="268"/>
      <c r="E112" s="268"/>
      <c r="F112" s="268"/>
      <c r="G112" s="268"/>
      <c r="H112" s="268"/>
      <c r="I112" s="268"/>
      <c r="J112" s="268"/>
      <c r="K112" s="268"/>
    </row>
    <row r="113" spans="1:75" ht="13.5" customHeight="1">
      <c r="A113" s="21" t="s">
        <v>344</v>
      </c>
      <c r="B113" s="3" t="s">
        <v>345</v>
      </c>
      <c r="C113" s="229" t="s">
        <v>346</v>
      </c>
      <c r="D113" s="229"/>
      <c r="E113" s="3" t="s">
        <v>215</v>
      </c>
      <c r="F113" s="22">
        <v>5.5998</v>
      </c>
      <c r="G113" s="22">
        <v>0</v>
      </c>
      <c r="H113" s="22">
        <f>F113*AO113</f>
        <v>0</v>
      </c>
      <c r="I113" s="22">
        <f>F113*AP113</f>
        <v>0</v>
      </c>
      <c r="J113" s="22">
        <f>F113*G113</f>
        <v>0</v>
      </c>
      <c r="K113" s="46" t="s">
        <v>167</v>
      </c>
      <c r="Z113" s="22">
        <f>IF(AQ113="5",BJ113,0)</f>
        <v>0</v>
      </c>
      <c r="AB113" s="22">
        <f>IF(AQ113="1",BH113,0)</f>
        <v>0</v>
      </c>
      <c r="AC113" s="22">
        <f>IF(AQ113="1",BI113,0)</f>
        <v>0</v>
      </c>
      <c r="AD113" s="22">
        <f>IF(AQ113="7",BH113,0)</f>
        <v>0</v>
      </c>
      <c r="AE113" s="22">
        <f>IF(AQ113="7",BI113,0)</f>
        <v>0</v>
      </c>
      <c r="AF113" s="22">
        <f>IF(AQ113="2",BH113,0)</f>
        <v>0</v>
      </c>
      <c r="AG113" s="22">
        <f>IF(AQ113="2",BI113,0)</f>
        <v>0</v>
      </c>
      <c r="AH113" s="22">
        <f>IF(AQ113="0",BJ113,0)</f>
        <v>0</v>
      </c>
      <c r="AI113" s="34"/>
      <c r="AJ113" s="22">
        <f>IF(AN113=0,J113,0)</f>
        <v>0</v>
      </c>
      <c r="AK113" s="22">
        <f>IF(AN113=15,J113,0)</f>
        <v>0</v>
      </c>
      <c r="AL113" s="22">
        <f>IF(AN113=21,J113,0)</f>
        <v>0</v>
      </c>
      <c r="AN113" s="22">
        <v>21</v>
      </c>
      <c r="AO113" s="22">
        <f>G113*1</f>
        <v>0</v>
      </c>
      <c r="AP113" s="22">
        <f>G113*(1-1)</f>
        <v>0</v>
      </c>
      <c r="AQ113" s="23" t="s">
        <v>212</v>
      </c>
      <c r="AV113" s="22">
        <f>AW113+AX113</f>
        <v>0</v>
      </c>
      <c r="AW113" s="22">
        <f>F113*AO113</f>
        <v>0</v>
      </c>
      <c r="AX113" s="22">
        <f>F113*AP113</f>
        <v>0</v>
      </c>
      <c r="AY113" s="23" t="s">
        <v>304</v>
      </c>
      <c r="AZ113" s="23" t="s">
        <v>287</v>
      </c>
      <c r="BA113" s="34" t="s">
        <v>170</v>
      </c>
      <c r="BC113" s="22">
        <f>AW113+AX113</f>
        <v>0</v>
      </c>
      <c r="BD113" s="22">
        <f>G113/(100-BE113)*100</f>
        <v>0</v>
      </c>
      <c r="BE113" s="22">
        <v>0</v>
      </c>
      <c r="BF113" s="22">
        <f>113</f>
        <v>113</v>
      </c>
      <c r="BH113" s="22">
        <f>F113*AO113</f>
        <v>0</v>
      </c>
      <c r="BI113" s="22">
        <f>F113*AP113</f>
        <v>0</v>
      </c>
      <c r="BJ113" s="22">
        <f>F113*G113</f>
        <v>0</v>
      </c>
      <c r="BK113" s="22"/>
      <c r="BL113" s="22">
        <v>713</v>
      </c>
      <c r="BW113" s="22">
        <v>21</v>
      </c>
    </row>
    <row r="114" spans="1:11" ht="15" customHeight="1">
      <c r="A114" s="47"/>
      <c r="C114" s="48" t="s">
        <v>342</v>
      </c>
      <c r="D114" s="48"/>
      <c r="F114" s="49">
        <v>5.49</v>
      </c>
      <c r="K114" s="50"/>
    </row>
    <row r="115" spans="1:11" ht="15" customHeight="1">
      <c r="A115" s="47"/>
      <c r="C115" s="48" t="s">
        <v>347</v>
      </c>
      <c r="D115" s="48"/>
      <c r="F115" s="49">
        <v>0.10980000000000001</v>
      </c>
      <c r="K115" s="50"/>
    </row>
    <row r="116" spans="1:75" ht="13.5" customHeight="1">
      <c r="A116" s="21" t="s">
        <v>75</v>
      </c>
      <c r="B116" s="3" t="s">
        <v>348</v>
      </c>
      <c r="C116" s="229" t="s">
        <v>349</v>
      </c>
      <c r="D116" s="229"/>
      <c r="E116" s="3" t="s">
        <v>215</v>
      </c>
      <c r="F116" s="22">
        <v>185.3355</v>
      </c>
      <c r="G116" s="22">
        <v>0</v>
      </c>
      <c r="H116" s="22">
        <f>F116*AO116</f>
        <v>0</v>
      </c>
      <c r="I116" s="22">
        <f>F116*AP116</f>
        <v>0</v>
      </c>
      <c r="J116" s="22">
        <f>F116*G116</f>
        <v>0</v>
      </c>
      <c r="K116" s="46" t="s">
        <v>167</v>
      </c>
      <c r="Z116" s="22">
        <f>IF(AQ116="5",BJ116,0)</f>
        <v>0</v>
      </c>
      <c r="AB116" s="22">
        <f>IF(AQ116="1",BH116,0)</f>
        <v>0</v>
      </c>
      <c r="AC116" s="22">
        <f>IF(AQ116="1",BI116,0)</f>
        <v>0</v>
      </c>
      <c r="AD116" s="22">
        <f>IF(AQ116="7",BH116,0)</f>
        <v>0</v>
      </c>
      <c r="AE116" s="22">
        <f>IF(AQ116="7",BI116,0)</f>
        <v>0</v>
      </c>
      <c r="AF116" s="22">
        <f>IF(AQ116="2",BH116,0)</f>
        <v>0</v>
      </c>
      <c r="AG116" s="22">
        <f>IF(AQ116="2",BI116,0)</f>
        <v>0</v>
      </c>
      <c r="AH116" s="22">
        <f>IF(AQ116="0",BJ116,0)</f>
        <v>0</v>
      </c>
      <c r="AI116" s="34"/>
      <c r="AJ116" s="22">
        <f>IF(AN116=0,J116,0)</f>
        <v>0</v>
      </c>
      <c r="AK116" s="22">
        <f>IF(AN116=15,J116,0)</f>
        <v>0</v>
      </c>
      <c r="AL116" s="22">
        <f>IF(AN116=21,J116,0)</f>
        <v>0</v>
      </c>
      <c r="AN116" s="22">
        <v>21</v>
      </c>
      <c r="AO116" s="22">
        <f>G116*0.7523118799468</f>
        <v>0</v>
      </c>
      <c r="AP116" s="22">
        <f>G116*(1-0.7523118799468)</f>
        <v>0</v>
      </c>
      <c r="AQ116" s="23" t="s">
        <v>212</v>
      </c>
      <c r="AV116" s="22">
        <f>AW116+AX116</f>
        <v>0</v>
      </c>
      <c r="AW116" s="22">
        <f>F116*AO116</f>
        <v>0</v>
      </c>
      <c r="AX116" s="22">
        <f>F116*AP116</f>
        <v>0</v>
      </c>
      <c r="AY116" s="23" t="s">
        <v>304</v>
      </c>
      <c r="AZ116" s="23" t="s">
        <v>287</v>
      </c>
      <c r="BA116" s="34" t="s">
        <v>170</v>
      </c>
      <c r="BC116" s="22">
        <f>AW116+AX116</f>
        <v>0</v>
      </c>
      <c r="BD116" s="22">
        <f>G116/(100-BE116)*100</f>
        <v>0</v>
      </c>
      <c r="BE116" s="22">
        <v>0</v>
      </c>
      <c r="BF116" s="22">
        <f>116</f>
        <v>116</v>
      </c>
      <c r="BH116" s="22">
        <f>F116*AO116</f>
        <v>0</v>
      </c>
      <c r="BI116" s="22">
        <f>F116*AP116</f>
        <v>0</v>
      </c>
      <c r="BJ116" s="22">
        <f>F116*G116</f>
        <v>0</v>
      </c>
      <c r="BK116" s="22"/>
      <c r="BL116" s="22">
        <v>713</v>
      </c>
      <c r="BW116" s="22">
        <v>21</v>
      </c>
    </row>
    <row r="117" spans="1:11" ht="15" customHeight="1">
      <c r="A117" s="47"/>
      <c r="C117" s="48" t="s">
        <v>350</v>
      </c>
      <c r="D117" s="48" t="s">
        <v>351</v>
      </c>
      <c r="F117" s="49">
        <v>108.51750000000001</v>
      </c>
      <c r="K117" s="50"/>
    </row>
    <row r="118" spans="1:11" ht="15" customHeight="1">
      <c r="A118" s="47"/>
      <c r="C118" s="48" t="s">
        <v>352</v>
      </c>
      <c r="D118" s="48"/>
      <c r="F118" s="49">
        <v>76.81800000000001</v>
      </c>
      <c r="K118" s="50"/>
    </row>
    <row r="119" spans="1:11" ht="27" customHeight="1">
      <c r="A119" s="47"/>
      <c r="B119" s="51" t="s">
        <v>175</v>
      </c>
      <c r="C119" s="268" t="s">
        <v>353</v>
      </c>
      <c r="D119" s="268"/>
      <c r="E119" s="268"/>
      <c r="F119" s="268"/>
      <c r="G119" s="268"/>
      <c r="H119" s="268"/>
      <c r="I119" s="268"/>
      <c r="J119" s="268"/>
      <c r="K119" s="268"/>
    </row>
    <row r="120" spans="1:75" ht="13.5" customHeight="1">
      <c r="A120" s="21" t="s">
        <v>354</v>
      </c>
      <c r="B120" s="3" t="s">
        <v>355</v>
      </c>
      <c r="C120" s="229" t="s">
        <v>356</v>
      </c>
      <c r="D120" s="229"/>
      <c r="E120" s="3" t="s">
        <v>215</v>
      </c>
      <c r="F120" s="22">
        <v>185.335</v>
      </c>
      <c r="G120" s="22">
        <v>0</v>
      </c>
      <c r="H120" s="22">
        <f>F120*AO120</f>
        <v>0</v>
      </c>
      <c r="I120" s="22">
        <f>F120*AP120</f>
        <v>0</v>
      </c>
      <c r="J120" s="22">
        <f>F120*G120</f>
        <v>0</v>
      </c>
      <c r="K120" s="46" t="s">
        <v>167</v>
      </c>
      <c r="Z120" s="22">
        <f>IF(AQ120="5",BJ120,0)</f>
        <v>0</v>
      </c>
      <c r="AB120" s="22">
        <f>IF(AQ120="1",BH120,0)</f>
        <v>0</v>
      </c>
      <c r="AC120" s="22">
        <f>IF(AQ120="1",BI120,0)</f>
        <v>0</v>
      </c>
      <c r="AD120" s="22">
        <f>IF(AQ120="7",BH120,0)</f>
        <v>0</v>
      </c>
      <c r="AE120" s="22">
        <f>IF(AQ120="7",BI120,0)</f>
        <v>0</v>
      </c>
      <c r="AF120" s="22">
        <f>IF(AQ120="2",BH120,0)</f>
        <v>0</v>
      </c>
      <c r="AG120" s="22">
        <f>IF(AQ120="2",BI120,0)</f>
        <v>0</v>
      </c>
      <c r="AH120" s="22">
        <f>IF(AQ120="0",BJ120,0)</f>
        <v>0</v>
      </c>
      <c r="AI120" s="34"/>
      <c r="AJ120" s="22">
        <f>IF(AN120=0,J120,0)</f>
        <v>0</v>
      </c>
      <c r="AK120" s="22">
        <f>IF(AN120=15,J120,0)</f>
        <v>0</v>
      </c>
      <c r="AL120" s="22">
        <f>IF(AN120=21,J120,0)</f>
        <v>0</v>
      </c>
      <c r="AN120" s="22">
        <v>21</v>
      </c>
      <c r="AO120" s="22">
        <f>G120*0.211576926059311</f>
        <v>0</v>
      </c>
      <c r="AP120" s="22">
        <f>G120*(1-0.211576926059311)</f>
        <v>0</v>
      </c>
      <c r="AQ120" s="23" t="s">
        <v>212</v>
      </c>
      <c r="AV120" s="22">
        <f>AW120+AX120</f>
        <v>0</v>
      </c>
      <c r="AW120" s="22">
        <f>F120*AO120</f>
        <v>0</v>
      </c>
      <c r="AX120" s="22">
        <f>F120*AP120</f>
        <v>0</v>
      </c>
      <c r="AY120" s="23" t="s">
        <v>304</v>
      </c>
      <c r="AZ120" s="23" t="s">
        <v>287</v>
      </c>
      <c r="BA120" s="34" t="s">
        <v>170</v>
      </c>
      <c r="BC120" s="22">
        <f>AW120+AX120</f>
        <v>0</v>
      </c>
      <c r="BD120" s="22">
        <f>G120/(100-BE120)*100</f>
        <v>0</v>
      </c>
      <c r="BE120" s="22">
        <v>0</v>
      </c>
      <c r="BF120" s="22">
        <f>120</f>
        <v>120</v>
      </c>
      <c r="BH120" s="22">
        <f>F120*AO120</f>
        <v>0</v>
      </c>
      <c r="BI120" s="22">
        <f>F120*AP120</f>
        <v>0</v>
      </c>
      <c r="BJ120" s="22">
        <f>F120*G120</f>
        <v>0</v>
      </c>
      <c r="BK120" s="22"/>
      <c r="BL120" s="22">
        <v>713</v>
      </c>
      <c r="BW120" s="22">
        <v>21</v>
      </c>
    </row>
    <row r="121" spans="1:11" ht="15" customHeight="1">
      <c r="A121" s="47"/>
      <c r="C121" s="48" t="s">
        <v>357</v>
      </c>
      <c r="D121" s="48"/>
      <c r="F121" s="49">
        <v>185.335</v>
      </c>
      <c r="K121" s="50"/>
    </row>
    <row r="122" spans="1:11" ht="13.5" customHeight="1">
      <c r="A122" s="47"/>
      <c r="B122" s="51" t="s">
        <v>175</v>
      </c>
      <c r="C122" s="268" t="s">
        <v>358</v>
      </c>
      <c r="D122" s="268"/>
      <c r="E122" s="268"/>
      <c r="F122" s="268"/>
      <c r="G122" s="268"/>
      <c r="H122" s="268"/>
      <c r="I122" s="268"/>
      <c r="J122" s="268"/>
      <c r="K122" s="268"/>
    </row>
    <row r="123" spans="1:75" ht="13.5" customHeight="1">
      <c r="A123" s="21" t="s">
        <v>359</v>
      </c>
      <c r="B123" s="3" t="s">
        <v>360</v>
      </c>
      <c r="C123" s="229" t="s">
        <v>361</v>
      </c>
      <c r="D123" s="229"/>
      <c r="E123" s="3" t="s">
        <v>215</v>
      </c>
      <c r="F123" s="22">
        <v>109.075</v>
      </c>
      <c r="G123" s="22">
        <v>0</v>
      </c>
      <c r="H123" s="22">
        <f>F123*AO123</f>
        <v>0</v>
      </c>
      <c r="I123" s="22">
        <f>F123*AP123</f>
        <v>0</v>
      </c>
      <c r="J123" s="22">
        <f>F123*G123</f>
        <v>0</v>
      </c>
      <c r="K123" s="46" t="s">
        <v>167</v>
      </c>
      <c r="Z123" s="22">
        <f>IF(AQ123="5",BJ123,0)</f>
        <v>0</v>
      </c>
      <c r="AB123" s="22">
        <f>IF(AQ123="1",BH123,0)</f>
        <v>0</v>
      </c>
      <c r="AC123" s="22">
        <f>IF(AQ123="1",BI123,0)</f>
        <v>0</v>
      </c>
      <c r="AD123" s="22">
        <f>IF(AQ123="7",BH123,0)</f>
        <v>0</v>
      </c>
      <c r="AE123" s="22">
        <f>IF(AQ123="7",BI123,0)</f>
        <v>0</v>
      </c>
      <c r="AF123" s="22">
        <f>IF(AQ123="2",BH123,0)</f>
        <v>0</v>
      </c>
      <c r="AG123" s="22">
        <f>IF(AQ123="2",BI123,0)</f>
        <v>0</v>
      </c>
      <c r="AH123" s="22">
        <f>IF(AQ123="0",BJ123,0)</f>
        <v>0</v>
      </c>
      <c r="AI123" s="34"/>
      <c r="AJ123" s="22">
        <f>IF(AN123=0,J123,0)</f>
        <v>0</v>
      </c>
      <c r="AK123" s="22">
        <f>IF(AN123=15,J123,0)</f>
        <v>0</v>
      </c>
      <c r="AL123" s="22">
        <f>IF(AN123=21,J123,0)</f>
        <v>0</v>
      </c>
      <c r="AN123" s="22">
        <v>21</v>
      </c>
      <c r="AO123" s="22">
        <f>G123*0</f>
        <v>0</v>
      </c>
      <c r="AP123" s="22">
        <f>G123*(1-0)</f>
        <v>0</v>
      </c>
      <c r="AQ123" s="23" t="s">
        <v>212</v>
      </c>
      <c r="AV123" s="22">
        <f>AW123+AX123</f>
        <v>0</v>
      </c>
      <c r="AW123" s="22">
        <f>F123*AO123</f>
        <v>0</v>
      </c>
      <c r="AX123" s="22">
        <f>F123*AP123</f>
        <v>0</v>
      </c>
      <c r="AY123" s="23" t="s">
        <v>304</v>
      </c>
      <c r="AZ123" s="23" t="s">
        <v>287</v>
      </c>
      <c r="BA123" s="34" t="s">
        <v>170</v>
      </c>
      <c r="BC123" s="22">
        <f>AW123+AX123</f>
        <v>0</v>
      </c>
      <c r="BD123" s="22">
        <f>G123/(100-BE123)*100</f>
        <v>0</v>
      </c>
      <c r="BE123" s="22">
        <v>0</v>
      </c>
      <c r="BF123" s="22">
        <f>123</f>
        <v>123</v>
      </c>
      <c r="BH123" s="22">
        <f>F123*AO123</f>
        <v>0</v>
      </c>
      <c r="BI123" s="22">
        <f>F123*AP123</f>
        <v>0</v>
      </c>
      <c r="BJ123" s="22">
        <f>F123*G123</f>
        <v>0</v>
      </c>
      <c r="BK123" s="22"/>
      <c r="BL123" s="22">
        <v>713</v>
      </c>
      <c r="BW123" s="22">
        <v>21</v>
      </c>
    </row>
    <row r="124" spans="1:11" ht="15" customHeight="1">
      <c r="A124" s="47"/>
      <c r="C124" s="48" t="s">
        <v>362</v>
      </c>
      <c r="D124" s="48" t="s">
        <v>363</v>
      </c>
      <c r="F124" s="49">
        <v>64.575</v>
      </c>
      <c r="K124" s="50"/>
    </row>
    <row r="125" spans="1:11" ht="15" customHeight="1">
      <c r="A125" s="47"/>
      <c r="C125" s="48" t="s">
        <v>364</v>
      </c>
      <c r="D125" s="48"/>
      <c r="F125" s="49">
        <v>44.50000000000001</v>
      </c>
      <c r="K125" s="50"/>
    </row>
    <row r="126" spans="1:11" ht="27" customHeight="1">
      <c r="A126" s="47"/>
      <c r="B126" s="51" t="s">
        <v>175</v>
      </c>
      <c r="C126" s="268" t="s">
        <v>343</v>
      </c>
      <c r="D126" s="268"/>
      <c r="E126" s="268"/>
      <c r="F126" s="268"/>
      <c r="G126" s="268"/>
      <c r="H126" s="268"/>
      <c r="I126" s="268"/>
      <c r="J126" s="268"/>
      <c r="K126" s="268"/>
    </row>
    <row r="127" spans="1:75" ht="13.5" customHeight="1">
      <c r="A127" s="21" t="s">
        <v>77</v>
      </c>
      <c r="B127" s="3" t="s">
        <v>365</v>
      </c>
      <c r="C127" s="229" t="s">
        <v>366</v>
      </c>
      <c r="D127" s="229"/>
      <c r="E127" s="3" t="s">
        <v>323</v>
      </c>
      <c r="F127" s="22">
        <v>4.438</v>
      </c>
      <c r="G127" s="22">
        <v>0</v>
      </c>
      <c r="H127" s="22">
        <f>F127*AO127</f>
        <v>0</v>
      </c>
      <c r="I127" s="22">
        <f>F127*AP127</f>
        <v>0</v>
      </c>
      <c r="J127" s="22">
        <f>F127*G127</f>
        <v>0</v>
      </c>
      <c r="K127" s="46" t="s">
        <v>167</v>
      </c>
      <c r="Z127" s="22">
        <f>IF(AQ127="5",BJ127,0)</f>
        <v>0</v>
      </c>
      <c r="AB127" s="22">
        <f>IF(AQ127="1",BH127,0)</f>
        <v>0</v>
      </c>
      <c r="AC127" s="22">
        <f>IF(AQ127="1",BI127,0)</f>
        <v>0</v>
      </c>
      <c r="AD127" s="22">
        <f>IF(AQ127="7",BH127,0)</f>
        <v>0</v>
      </c>
      <c r="AE127" s="22">
        <f>IF(AQ127="7",BI127,0)</f>
        <v>0</v>
      </c>
      <c r="AF127" s="22">
        <f>IF(AQ127="2",BH127,0)</f>
        <v>0</v>
      </c>
      <c r="AG127" s="22">
        <f>IF(AQ127="2",BI127,0)</f>
        <v>0</v>
      </c>
      <c r="AH127" s="22">
        <f>IF(AQ127="0",BJ127,0)</f>
        <v>0</v>
      </c>
      <c r="AI127" s="34"/>
      <c r="AJ127" s="22">
        <f>IF(AN127=0,J127,0)</f>
        <v>0</v>
      </c>
      <c r="AK127" s="22">
        <f>IF(AN127=15,J127,0)</f>
        <v>0</v>
      </c>
      <c r="AL127" s="22">
        <f>IF(AN127=21,J127,0)</f>
        <v>0</v>
      </c>
      <c r="AN127" s="22">
        <v>21</v>
      </c>
      <c r="AO127" s="22">
        <f>G127*0</f>
        <v>0</v>
      </c>
      <c r="AP127" s="22">
        <f>G127*(1-0)</f>
        <v>0</v>
      </c>
      <c r="AQ127" s="23" t="s">
        <v>194</v>
      </c>
      <c r="AV127" s="22">
        <f>AW127+AX127</f>
        <v>0</v>
      </c>
      <c r="AW127" s="22">
        <f>F127*AO127</f>
        <v>0</v>
      </c>
      <c r="AX127" s="22">
        <f>F127*AP127</f>
        <v>0</v>
      </c>
      <c r="AY127" s="23" t="s">
        <v>304</v>
      </c>
      <c r="AZ127" s="23" t="s">
        <v>287</v>
      </c>
      <c r="BA127" s="34" t="s">
        <v>170</v>
      </c>
      <c r="BC127" s="22">
        <f>AW127+AX127</f>
        <v>0</v>
      </c>
      <c r="BD127" s="22">
        <f>G127/(100-BE127)*100</f>
        <v>0</v>
      </c>
      <c r="BE127" s="22">
        <v>0</v>
      </c>
      <c r="BF127" s="22">
        <f>127</f>
        <v>127</v>
      </c>
      <c r="BH127" s="22">
        <f>F127*AO127</f>
        <v>0</v>
      </c>
      <c r="BI127" s="22">
        <f>F127*AP127</f>
        <v>0</v>
      </c>
      <c r="BJ127" s="22">
        <f>F127*G127</f>
        <v>0</v>
      </c>
      <c r="BK127" s="22"/>
      <c r="BL127" s="22">
        <v>713</v>
      </c>
      <c r="BW127" s="22">
        <v>21</v>
      </c>
    </row>
    <row r="128" spans="1:11" ht="15" customHeight="1">
      <c r="A128" s="47"/>
      <c r="C128" s="48" t="s">
        <v>367</v>
      </c>
      <c r="D128" s="48"/>
      <c r="F128" s="49">
        <v>4.438000000000001</v>
      </c>
      <c r="K128" s="50"/>
    </row>
    <row r="129" spans="1:47" ht="15" customHeight="1">
      <c r="A129" s="42"/>
      <c r="B129" s="43" t="s">
        <v>89</v>
      </c>
      <c r="C129" s="267" t="s">
        <v>90</v>
      </c>
      <c r="D129" s="267"/>
      <c r="E129" s="44" t="s">
        <v>58</v>
      </c>
      <c r="F129" s="44" t="s">
        <v>58</v>
      </c>
      <c r="G129" s="44" t="s">
        <v>58</v>
      </c>
      <c r="H129" s="30">
        <f>SUM(H130:H136)</f>
        <v>0</v>
      </c>
      <c r="I129" s="30">
        <f>SUM(I130:I136)</f>
        <v>0</v>
      </c>
      <c r="J129" s="30">
        <f>SUM(J130:J136)</f>
        <v>0</v>
      </c>
      <c r="K129" s="45"/>
      <c r="AI129" s="34"/>
      <c r="AS129" s="30">
        <f>SUM(AJ130:AJ136)</f>
        <v>0</v>
      </c>
      <c r="AT129" s="30">
        <f>SUM(AK130:AK136)</f>
        <v>0</v>
      </c>
      <c r="AU129" s="30">
        <f>SUM(AL130:AL136)</f>
        <v>0</v>
      </c>
    </row>
    <row r="130" spans="1:75" ht="13.5" customHeight="1">
      <c r="A130" s="21" t="s">
        <v>368</v>
      </c>
      <c r="B130" s="3" t="s">
        <v>369</v>
      </c>
      <c r="C130" s="229" t="s">
        <v>370</v>
      </c>
      <c r="D130" s="229"/>
      <c r="E130" s="3" t="s">
        <v>243</v>
      </c>
      <c r="F130" s="22">
        <v>12.72</v>
      </c>
      <c r="G130" s="22">
        <v>0</v>
      </c>
      <c r="H130" s="22">
        <f>F130*AO130</f>
        <v>0</v>
      </c>
      <c r="I130" s="22">
        <f>F130*AP130</f>
        <v>0</v>
      </c>
      <c r="J130" s="22">
        <f>F130*G130</f>
        <v>0</v>
      </c>
      <c r="K130" s="46" t="s">
        <v>167</v>
      </c>
      <c r="Z130" s="22">
        <f>IF(AQ130="5",BJ130,0)</f>
        <v>0</v>
      </c>
      <c r="AB130" s="22">
        <f>IF(AQ130="1",BH130,0)</f>
        <v>0</v>
      </c>
      <c r="AC130" s="22">
        <f>IF(AQ130="1",BI130,0)</f>
        <v>0</v>
      </c>
      <c r="AD130" s="22">
        <f>IF(AQ130="7",BH130,0)</f>
        <v>0</v>
      </c>
      <c r="AE130" s="22">
        <f>IF(AQ130="7",BI130,0)</f>
        <v>0</v>
      </c>
      <c r="AF130" s="22">
        <f>IF(AQ130="2",BH130,0)</f>
        <v>0</v>
      </c>
      <c r="AG130" s="22">
        <f>IF(AQ130="2",BI130,0)</f>
        <v>0</v>
      </c>
      <c r="AH130" s="22">
        <f>IF(AQ130="0",BJ130,0)</f>
        <v>0</v>
      </c>
      <c r="AI130" s="34"/>
      <c r="AJ130" s="22">
        <f>IF(AN130=0,J130,0)</f>
        <v>0</v>
      </c>
      <c r="AK130" s="22">
        <f>IF(AN130=15,J130,0)</f>
        <v>0</v>
      </c>
      <c r="AL130" s="22">
        <f>IF(AN130=21,J130,0)</f>
        <v>0</v>
      </c>
      <c r="AN130" s="22">
        <v>21</v>
      </c>
      <c r="AO130" s="22">
        <f>G130*0.387809847198642</f>
        <v>0</v>
      </c>
      <c r="AP130" s="22">
        <f>G130*(1-0.387809847198642)</f>
        <v>0</v>
      </c>
      <c r="AQ130" s="23" t="s">
        <v>212</v>
      </c>
      <c r="AV130" s="22">
        <f>AW130+AX130</f>
        <v>0</v>
      </c>
      <c r="AW130" s="22">
        <f>F130*AO130</f>
        <v>0</v>
      </c>
      <c r="AX130" s="22">
        <f>F130*AP130</f>
        <v>0</v>
      </c>
      <c r="AY130" s="23" t="s">
        <v>371</v>
      </c>
      <c r="AZ130" s="23" t="s">
        <v>372</v>
      </c>
      <c r="BA130" s="34" t="s">
        <v>170</v>
      </c>
      <c r="BC130" s="22">
        <f>AW130+AX130</f>
        <v>0</v>
      </c>
      <c r="BD130" s="22">
        <f>G130/(100-BE130)*100</f>
        <v>0</v>
      </c>
      <c r="BE130" s="22">
        <v>0</v>
      </c>
      <c r="BF130" s="22">
        <f>130</f>
        <v>130</v>
      </c>
      <c r="BH130" s="22">
        <f>F130*AO130</f>
        <v>0</v>
      </c>
      <c r="BI130" s="22">
        <f>F130*AP130</f>
        <v>0</v>
      </c>
      <c r="BJ130" s="22">
        <f>F130*G130</f>
        <v>0</v>
      </c>
      <c r="BK130" s="22"/>
      <c r="BL130" s="22">
        <v>721</v>
      </c>
      <c r="BW130" s="22">
        <v>21</v>
      </c>
    </row>
    <row r="131" spans="1:11" ht="15" customHeight="1">
      <c r="A131" s="47"/>
      <c r="C131" s="48" t="s">
        <v>373</v>
      </c>
      <c r="D131" s="48" t="s">
        <v>374</v>
      </c>
      <c r="F131" s="49">
        <v>12.72</v>
      </c>
      <c r="K131" s="50"/>
    </row>
    <row r="132" spans="1:75" ht="13.5" customHeight="1">
      <c r="A132" s="21" t="s">
        <v>375</v>
      </c>
      <c r="B132" s="3" t="s">
        <v>376</v>
      </c>
      <c r="C132" s="229" t="s">
        <v>377</v>
      </c>
      <c r="D132" s="229"/>
      <c r="E132" s="3" t="s">
        <v>207</v>
      </c>
      <c r="F132" s="22">
        <v>1</v>
      </c>
      <c r="G132" s="22">
        <v>0</v>
      </c>
      <c r="H132" s="22">
        <f>F132*AO132</f>
        <v>0</v>
      </c>
      <c r="I132" s="22">
        <f>F132*AP132</f>
        <v>0</v>
      </c>
      <c r="J132" s="22">
        <f>F132*G132</f>
        <v>0</v>
      </c>
      <c r="K132" s="46" t="s">
        <v>167</v>
      </c>
      <c r="Z132" s="22">
        <f>IF(AQ132="5",BJ132,0)</f>
        <v>0</v>
      </c>
      <c r="AB132" s="22">
        <f>IF(AQ132="1",BH132,0)</f>
        <v>0</v>
      </c>
      <c r="AC132" s="22">
        <f>IF(AQ132="1",BI132,0)</f>
        <v>0</v>
      </c>
      <c r="AD132" s="22">
        <f>IF(AQ132="7",BH132,0)</f>
        <v>0</v>
      </c>
      <c r="AE132" s="22">
        <f>IF(AQ132="7",BI132,0)</f>
        <v>0</v>
      </c>
      <c r="AF132" s="22">
        <f>IF(AQ132="2",BH132,0)</f>
        <v>0</v>
      </c>
      <c r="AG132" s="22">
        <f>IF(AQ132="2",BI132,0)</f>
        <v>0</v>
      </c>
      <c r="AH132" s="22">
        <f>IF(AQ132="0",BJ132,0)</f>
        <v>0</v>
      </c>
      <c r="AI132" s="34"/>
      <c r="AJ132" s="22">
        <f>IF(AN132=0,J132,0)</f>
        <v>0</v>
      </c>
      <c r="AK132" s="22">
        <f>IF(AN132=15,J132,0)</f>
        <v>0</v>
      </c>
      <c r="AL132" s="22">
        <f>IF(AN132=21,J132,0)</f>
        <v>0</v>
      </c>
      <c r="AN132" s="22">
        <v>21</v>
      </c>
      <c r="AO132" s="22">
        <f>G132*0.214031413612565</f>
        <v>0</v>
      </c>
      <c r="AP132" s="22">
        <f>G132*(1-0.214031413612565)</f>
        <v>0</v>
      </c>
      <c r="AQ132" s="23" t="s">
        <v>212</v>
      </c>
      <c r="AV132" s="22">
        <f>AW132+AX132</f>
        <v>0</v>
      </c>
      <c r="AW132" s="22">
        <f>F132*AO132</f>
        <v>0</v>
      </c>
      <c r="AX132" s="22">
        <f>F132*AP132</f>
        <v>0</v>
      </c>
      <c r="AY132" s="23" t="s">
        <v>371</v>
      </c>
      <c r="AZ132" s="23" t="s">
        <v>372</v>
      </c>
      <c r="BA132" s="34" t="s">
        <v>170</v>
      </c>
      <c r="BC132" s="22">
        <f>AW132+AX132</f>
        <v>0</v>
      </c>
      <c r="BD132" s="22">
        <f>G132/(100-BE132)*100</f>
        <v>0</v>
      </c>
      <c r="BE132" s="22">
        <v>0</v>
      </c>
      <c r="BF132" s="22">
        <f>132</f>
        <v>132</v>
      </c>
      <c r="BH132" s="22">
        <f>F132*AO132</f>
        <v>0</v>
      </c>
      <c r="BI132" s="22">
        <f>F132*AP132</f>
        <v>0</v>
      </c>
      <c r="BJ132" s="22">
        <f>F132*G132</f>
        <v>0</v>
      </c>
      <c r="BK132" s="22"/>
      <c r="BL132" s="22">
        <v>721</v>
      </c>
      <c r="BW132" s="22">
        <v>21</v>
      </c>
    </row>
    <row r="133" spans="1:11" ht="15" customHeight="1">
      <c r="A133" s="47"/>
      <c r="C133" s="48" t="s">
        <v>163</v>
      </c>
      <c r="D133" s="48" t="s">
        <v>378</v>
      </c>
      <c r="F133" s="49">
        <v>1</v>
      </c>
      <c r="K133" s="50"/>
    </row>
    <row r="134" spans="1:75" ht="13.5" customHeight="1">
      <c r="A134" s="21" t="s">
        <v>379</v>
      </c>
      <c r="B134" s="3" t="s">
        <v>380</v>
      </c>
      <c r="C134" s="229" t="s">
        <v>381</v>
      </c>
      <c r="D134" s="229"/>
      <c r="E134" s="3" t="s">
        <v>207</v>
      </c>
      <c r="F134" s="22">
        <v>4</v>
      </c>
      <c r="G134" s="22">
        <v>0</v>
      </c>
      <c r="H134" s="22">
        <f>F134*AO134</f>
        <v>0</v>
      </c>
      <c r="I134" s="22">
        <f>F134*AP134</f>
        <v>0</v>
      </c>
      <c r="J134" s="22">
        <f>F134*G134</f>
        <v>0</v>
      </c>
      <c r="K134" s="46" t="s">
        <v>167</v>
      </c>
      <c r="Z134" s="22">
        <f>IF(AQ134="5",BJ134,0)</f>
        <v>0</v>
      </c>
      <c r="AB134" s="22">
        <f>IF(AQ134="1",BH134,0)</f>
        <v>0</v>
      </c>
      <c r="AC134" s="22">
        <f>IF(AQ134="1",BI134,0)</f>
        <v>0</v>
      </c>
      <c r="AD134" s="22">
        <f>IF(AQ134="7",BH134,0)</f>
        <v>0</v>
      </c>
      <c r="AE134" s="22">
        <f>IF(AQ134="7",BI134,0)</f>
        <v>0</v>
      </c>
      <c r="AF134" s="22">
        <f>IF(AQ134="2",BH134,0)</f>
        <v>0</v>
      </c>
      <c r="AG134" s="22">
        <f>IF(AQ134="2",BI134,0)</f>
        <v>0</v>
      </c>
      <c r="AH134" s="22">
        <f>IF(AQ134="0",BJ134,0)</f>
        <v>0</v>
      </c>
      <c r="AI134" s="34"/>
      <c r="AJ134" s="22">
        <f>IF(AN134=0,J134,0)</f>
        <v>0</v>
      </c>
      <c r="AK134" s="22">
        <f>IF(AN134=15,J134,0)</f>
        <v>0</v>
      </c>
      <c r="AL134" s="22">
        <f>IF(AN134=21,J134,0)</f>
        <v>0</v>
      </c>
      <c r="AN134" s="22">
        <v>21</v>
      </c>
      <c r="AO134" s="22">
        <f>G134*0</f>
        <v>0</v>
      </c>
      <c r="AP134" s="22">
        <f>G134*(1-0)</f>
        <v>0</v>
      </c>
      <c r="AQ134" s="23" t="s">
        <v>212</v>
      </c>
      <c r="AV134" s="22">
        <f>AW134+AX134</f>
        <v>0</v>
      </c>
      <c r="AW134" s="22">
        <f>F134*AO134</f>
        <v>0</v>
      </c>
      <c r="AX134" s="22">
        <f>F134*AP134</f>
        <v>0</v>
      </c>
      <c r="AY134" s="23" t="s">
        <v>371</v>
      </c>
      <c r="AZ134" s="23" t="s">
        <v>372</v>
      </c>
      <c r="BA134" s="34" t="s">
        <v>170</v>
      </c>
      <c r="BC134" s="22">
        <f>AW134+AX134</f>
        <v>0</v>
      </c>
      <c r="BD134" s="22">
        <f>G134/(100-BE134)*100</f>
        <v>0</v>
      </c>
      <c r="BE134" s="22">
        <v>0</v>
      </c>
      <c r="BF134" s="22">
        <f>134</f>
        <v>134</v>
      </c>
      <c r="BH134" s="22">
        <f>F134*AO134</f>
        <v>0</v>
      </c>
      <c r="BI134" s="22">
        <f>F134*AP134</f>
        <v>0</v>
      </c>
      <c r="BJ134" s="22">
        <f>F134*G134</f>
        <v>0</v>
      </c>
      <c r="BK134" s="22"/>
      <c r="BL134" s="22">
        <v>721</v>
      </c>
      <c r="BW134" s="22">
        <v>21</v>
      </c>
    </row>
    <row r="135" spans="1:11" ht="15" customHeight="1">
      <c r="A135" s="47"/>
      <c r="C135" s="48" t="s">
        <v>190</v>
      </c>
      <c r="D135" s="48"/>
      <c r="F135" s="49">
        <v>4</v>
      </c>
      <c r="K135" s="50"/>
    </row>
    <row r="136" spans="1:75" ht="13.5" customHeight="1">
      <c r="A136" s="21" t="s">
        <v>382</v>
      </c>
      <c r="B136" s="3" t="s">
        <v>383</v>
      </c>
      <c r="C136" s="229" t="s">
        <v>384</v>
      </c>
      <c r="D136" s="229"/>
      <c r="E136" s="3" t="s">
        <v>207</v>
      </c>
      <c r="F136" s="22">
        <v>4</v>
      </c>
      <c r="G136" s="22">
        <v>0</v>
      </c>
      <c r="H136" s="22">
        <f>F136*AO136</f>
        <v>0</v>
      </c>
      <c r="I136" s="22">
        <f>F136*AP136</f>
        <v>0</v>
      </c>
      <c r="J136" s="22">
        <f>F136*G136</f>
        <v>0</v>
      </c>
      <c r="K136" s="46" t="s">
        <v>167</v>
      </c>
      <c r="Z136" s="22">
        <f>IF(AQ136="5",BJ136,0)</f>
        <v>0</v>
      </c>
      <c r="AB136" s="22">
        <f>IF(AQ136="1",BH136,0)</f>
        <v>0</v>
      </c>
      <c r="AC136" s="22">
        <f>IF(AQ136="1",BI136,0)</f>
        <v>0</v>
      </c>
      <c r="AD136" s="22">
        <f>IF(AQ136="7",BH136,0)</f>
        <v>0</v>
      </c>
      <c r="AE136" s="22">
        <f>IF(AQ136="7",BI136,0)</f>
        <v>0</v>
      </c>
      <c r="AF136" s="22">
        <f>IF(AQ136="2",BH136,0)</f>
        <v>0</v>
      </c>
      <c r="AG136" s="22">
        <f>IF(AQ136="2",BI136,0)</f>
        <v>0</v>
      </c>
      <c r="AH136" s="22">
        <f>IF(AQ136="0",BJ136,0)</f>
        <v>0</v>
      </c>
      <c r="AI136" s="34"/>
      <c r="AJ136" s="22">
        <f>IF(AN136=0,J136,0)</f>
        <v>0</v>
      </c>
      <c r="AK136" s="22">
        <f>IF(AN136=15,J136,0)</f>
        <v>0</v>
      </c>
      <c r="AL136" s="22">
        <f>IF(AN136=21,J136,0)</f>
        <v>0</v>
      </c>
      <c r="AN136" s="22">
        <v>21</v>
      </c>
      <c r="AO136" s="22">
        <f>G136*0.770892561983471</f>
        <v>0</v>
      </c>
      <c r="AP136" s="22">
        <f>G136*(1-0.770892561983471)</f>
        <v>0</v>
      </c>
      <c r="AQ136" s="23" t="s">
        <v>212</v>
      </c>
      <c r="AV136" s="22">
        <f>AW136+AX136</f>
        <v>0</v>
      </c>
      <c r="AW136" s="22">
        <f>F136*AO136</f>
        <v>0</v>
      </c>
      <c r="AX136" s="22">
        <f>F136*AP136</f>
        <v>0</v>
      </c>
      <c r="AY136" s="23" t="s">
        <v>371</v>
      </c>
      <c r="AZ136" s="23" t="s">
        <v>372</v>
      </c>
      <c r="BA136" s="34" t="s">
        <v>170</v>
      </c>
      <c r="BC136" s="22">
        <f>AW136+AX136</f>
        <v>0</v>
      </c>
      <c r="BD136" s="22">
        <f>G136/(100-BE136)*100</f>
        <v>0</v>
      </c>
      <c r="BE136" s="22">
        <v>0</v>
      </c>
      <c r="BF136" s="22">
        <f>136</f>
        <v>136</v>
      </c>
      <c r="BH136" s="22">
        <f>F136*AO136</f>
        <v>0</v>
      </c>
      <c r="BI136" s="22">
        <f>F136*AP136</f>
        <v>0</v>
      </c>
      <c r="BJ136" s="22">
        <f>F136*G136</f>
        <v>0</v>
      </c>
      <c r="BK136" s="22"/>
      <c r="BL136" s="22">
        <v>721</v>
      </c>
      <c r="BW136" s="22">
        <v>21</v>
      </c>
    </row>
    <row r="137" spans="1:11" ht="15" customHeight="1">
      <c r="A137" s="47"/>
      <c r="C137" s="48" t="s">
        <v>190</v>
      </c>
      <c r="D137" s="48"/>
      <c r="F137" s="49">
        <v>4</v>
      </c>
      <c r="K137" s="50"/>
    </row>
    <row r="138" spans="1:47" ht="15" customHeight="1">
      <c r="A138" s="42"/>
      <c r="B138" s="43" t="s">
        <v>91</v>
      </c>
      <c r="C138" s="267" t="s">
        <v>92</v>
      </c>
      <c r="D138" s="267"/>
      <c r="E138" s="44" t="s">
        <v>58</v>
      </c>
      <c r="F138" s="44" t="s">
        <v>58</v>
      </c>
      <c r="G138" s="44" t="s">
        <v>58</v>
      </c>
      <c r="H138" s="30">
        <f>SUM(H139:H142)</f>
        <v>0</v>
      </c>
      <c r="I138" s="30">
        <f>SUM(I139:I142)</f>
        <v>0</v>
      </c>
      <c r="J138" s="30">
        <f>SUM(J139:J142)</f>
        <v>0</v>
      </c>
      <c r="K138" s="45"/>
      <c r="AI138" s="34"/>
      <c r="AS138" s="30">
        <f>SUM(AJ139:AJ142)</f>
        <v>0</v>
      </c>
      <c r="AT138" s="30">
        <f>SUM(AK139:AK142)</f>
        <v>0</v>
      </c>
      <c r="AU138" s="30">
        <f>SUM(AL139:AL142)</f>
        <v>0</v>
      </c>
    </row>
    <row r="139" spans="1:75" ht="13.5" customHeight="1">
      <c r="A139" s="21" t="s">
        <v>385</v>
      </c>
      <c r="B139" s="3" t="s">
        <v>386</v>
      </c>
      <c r="C139" s="229" t="s">
        <v>387</v>
      </c>
      <c r="D139" s="229"/>
      <c r="E139" s="3" t="s">
        <v>388</v>
      </c>
      <c r="F139" s="22">
        <v>1</v>
      </c>
      <c r="G139" s="22">
        <f>Vytápění!O144</f>
        <v>0</v>
      </c>
      <c r="H139" s="22">
        <f>Vytápění!L144</f>
        <v>0</v>
      </c>
      <c r="I139" s="22">
        <f>Vytápění!N144</f>
        <v>0</v>
      </c>
      <c r="J139" s="22">
        <f>F139*G139</f>
        <v>0</v>
      </c>
      <c r="K139" s="46"/>
      <c r="Z139" s="22">
        <f>IF(AQ139="5",BJ139,0)</f>
        <v>0</v>
      </c>
      <c r="AB139" s="22">
        <f>IF(AQ139="1",BH139,0)</f>
        <v>0</v>
      </c>
      <c r="AC139" s="22">
        <f>IF(AQ139="1",BI139,0)</f>
        <v>0</v>
      </c>
      <c r="AD139" s="22">
        <f>IF(AQ139="7",BH139,0)</f>
        <v>0</v>
      </c>
      <c r="AE139" s="22">
        <f>IF(AQ139="7",BI139,0)</f>
        <v>0</v>
      </c>
      <c r="AF139" s="22">
        <f>IF(AQ139="2",BH139,0)</f>
        <v>0</v>
      </c>
      <c r="AG139" s="22">
        <f>IF(AQ139="2",BI139,0)</f>
        <v>0</v>
      </c>
      <c r="AH139" s="22">
        <f>IF(AQ139="0",BJ139,0)</f>
        <v>0</v>
      </c>
      <c r="AI139" s="34"/>
      <c r="AJ139" s="22">
        <f>IF(AN139=0,J139,0)</f>
        <v>0</v>
      </c>
      <c r="AK139" s="22">
        <f>IF(AN139=15,J139,0)</f>
        <v>0</v>
      </c>
      <c r="AL139" s="22">
        <f>IF(AN139=21,J139,0)</f>
        <v>0</v>
      </c>
      <c r="AN139" s="22">
        <v>21</v>
      </c>
      <c r="AO139" s="22">
        <f>G139*0.108876632549287</f>
        <v>0</v>
      </c>
      <c r="AP139" s="22">
        <f>G139*(1-0.108876632549287)</f>
        <v>0</v>
      </c>
      <c r="AQ139" s="23" t="s">
        <v>212</v>
      </c>
      <c r="AV139" s="22">
        <f>AW139+AX139</f>
        <v>0</v>
      </c>
      <c r="AW139" s="22">
        <f>F139*AO139</f>
        <v>0</v>
      </c>
      <c r="AX139" s="22">
        <f>F139*AP139</f>
        <v>0</v>
      </c>
      <c r="AY139" s="23" t="s">
        <v>389</v>
      </c>
      <c r="AZ139" s="23" t="s">
        <v>390</v>
      </c>
      <c r="BA139" s="34" t="s">
        <v>170</v>
      </c>
      <c r="BC139" s="22">
        <f>AW139+AX139</f>
        <v>0</v>
      </c>
      <c r="BD139" s="22">
        <f>G139/(100-BE139)*100</f>
        <v>0</v>
      </c>
      <c r="BE139" s="22">
        <v>0</v>
      </c>
      <c r="BF139" s="22">
        <f>139</f>
        <v>139</v>
      </c>
      <c r="BH139" s="22">
        <f>F139*AO139</f>
        <v>0</v>
      </c>
      <c r="BI139" s="22">
        <f>F139*AP139</f>
        <v>0</v>
      </c>
      <c r="BJ139" s="22">
        <f>F139*G139</f>
        <v>0</v>
      </c>
      <c r="BK139" s="22"/>
      <c r="BL139" s="22">
        <v>731</v>
      </c>
      <c r="BW139" s="22">
        <v>21</v>
      </c>
    </row>
    <row r="140" spans="1:11" ht="15" customHeight="1">
      <c r="A140" s="47"/>
      <c r="C140" s="48" t="s">
        <v>163</v>
      </c>
      <c r="D140" s="48"/>
      <c r="F140" s="49">
        <v>1</v>
      </c>
      <c r="K140" s="50"/>
    </row>
    <row r="141" spans="1:11" ht="13.5" customHeight="1">
      <c r="A141" s="47"/>
      <c r="B141" s="51" t="s">
        <v>175</v>
      </c>
      <c r="C141" s="268" t="s">
        <v>391</v>
      </c>
      <c r="D141" s="268"/>
      <c r="E141" s="268"/>
      <c r="F141" s="268"/>
      <c r="G141" s="268"/>
      <c r="H141" s="268"/>
      <c r="I141" s="268"/>
      <c r="J141" s="268"/>
      <c r="K141" s="268"/>
    </row>
    <row r="142" spans="1:75" ht="13.5" customHeight="1">
      <c r="A142" s="21" t="s">
        <v>392</v>
      </c>
      <c r="B142" s="3" t="s">
        <v>393</v>
      </c>
      <c r="C142" s="229" t="s">
        <v>394</v>
      </c>
      <c r="D142" s="229"/>
      <c r="E142" s="3" t="s">
        <v>395</v>
      </c>
      <c r="F142" s="22">
        <v>1</v>
      </c>
      <c r="G142" s="22">
        <f>'Primární okruh'!Q83</f>
        <v>0</v>
      </c>
      <c r="H142" s="22">
        <f>F142*AO142</f>
        <v>0</v>
      </c>
      <c r="I142" s="22">
        <f>F142*AP142</f>
        <v>0</v>
      </c>
      <c r="J142" s="22">
        <f>F142*G142</f>
        <v>0</v>
      </c>
      <c r="K142" s="46"/>
      <c r="Z142" s="22">
        <f>IF(AQ142="5",BJ142,0)</f>
        <v>0</v>
      </c>
      <c r="AB142" s="22">
        <f>IF(AQ142="1",BH142,0)</f>
        <v>0</v>
      </c>
      <c r="AC142" s="22">
        <f>IF(AQ142="1",BI142,0)</f>
        <v>0</v>
      </c>
      <c r="AD142" s="22">
        <f>IF(AQ142="7",BH142,0)</f>
        <v>0</v>
      </c>
      <c r="AE142" s="22">
        <f>IF(AQ142="7",BI142,0)</f>
        <v>0</v>
      </c>
      <c r="AF142" s="22">
        <f>IF(AQ142="2",BH142,0)</f>
        <v>0</v>
      </c>
      <c r="AG142" s="22">
        <f>IF(AQ142="2",BI142,0)</f>
        <v>0</v>
      </c>
      <c r="AH142" s="22">
        <f>IF(AQ142="0",BJ142,0)</f>
        <v>0</v>
      </c>
      <c r="AI142" s="34"/>
      <c r="AJ142" s="22">
        <f>IF(AN142=0,J142,0)</f>
        <v>0</v>
      </c>
      <c r="AK142" s="22">
        <f>IF(AN142=15,J142,0)</f>
        <v>0</v>
      </c>
      <c r="AL142" s="22">
        <f>IF(AN142=21,J142,0)</f>
        <v>0</v>
      </c>
      <c r="AN142" s="22">
        <v>21</v>
      </c>
      <c r="AO142" s="22">
        <f>G142*1</f>
        <v>0</v>
      </c>
      <c r="AP142" s="22">
        <f>G142*(1-1)</f>
        <v>0</v>
      </c>
      <c r="AQ142" s="23" t="s">
        <v>212</v>
      </c>
      <c r="AV142" s="22">
        <f>AW142+AX142</f>
        <v>0</v>
      </c>
      <c r="AW142" s="22">
        <f>F142*AO142</f>
        <v>0</v>
      </c>
      <c r="AX142" s="22">
        <f>F142*AP142</f>
        <v>0</v>
      </c>
      <c r="AY142" s="23" t="s">
        <v>389</v>
      </c>
      <c r="AZ142" s="23" t="s">
        <v>390</v>
      </c>
      <c r="BA142" s="34" t="s">
        <v>170</v>
      </c>
      <c r="BC142" s="22">
        <f>AW142+AX142</f>
        <v>0</v>
      </c>
      <c r="BD142" s="22">
        <f>G142/(100-BE142)*100</f>
        <v>0</v>
      </c>
      <c r="BE142" s="22">
        <v>0</v>
      </c>
      <c r="BF142" s="22">
        <f>142</f>
        <v>142</v>
      </c>
      <c r="BH142" s="22">
        <f>F142*AO142</f>
        <v>0</v>
      </c>
      <c r="BI142" s="22">
        <f>F142*AP142</f>
        <v>0</v>
      </c>
      <c r="BJ142" s="22">
        <f>F142*G142</f>
        <v>0</v>
      </c>
      <c r="BK142" s="22"/>
      <c r="BL142" s="22">
        <v>731</v>
      </c>
      <c r="BW142" s="22">
        <v>21</v>
      </c>
    </row>
    <row r="143" spans="1:11" ht="15" customHeight="1">
      <c r="A143" s="47"/>
      <c r="C143" s="48" t="s">
        <v>163</v>
      </c>
      <c r="D143" s="48"/>
      <c r="F143" s="49">
        <v>1</v>
      </c>
      <c r="K143" s="50"/>
    </row>
    <row r="144" spans="1:11" ht="13.5" customHeight="1">
      <c r="A144" s="47"/>
      <c r="B144" s="51" t="s">
        <v>175</v>
      </c>
      <c r="C144" s="268" t="s">
        <v>396</v>
      </c>
      <c r="D144" s="268"/>
      <c r="E144" s="268"/>
      <c r="F144" s="268"/>
      <c r="G144" s="268"/>
      <c r="H144" s="268"/>
      <c r="I144" s="268"/>
      <c r="J144" s="268"/>
      <c r="K144" s="268"/>
    </row>
    <row r="145" spans="1:47" ht="15" customHeight="1">
      <c r="A145" s="42"/>
      <c r="B145" s="43" t="s">
        <v>93</v>
      </c>
      <c r="C145" s="267" t="s">
        <v>94</v>
      </c>
      <c r="D145" s="267"/>
      <c r="E145" s="44" t="s">
        <v>58</v>
      </c>
      <c r="F145" s="44" t="s">
        <v>58</v>
      </c>
      <c r="G145" s="44" t="s">
        <v>58</v>
      </c>
      <c r="H145" s="30">
        <f>SUM(H146:H146)</f>
        <v>0</v>
      </c>
      <c r="I145" s="30">
        <f>SUM(I146:I146)</f>
        <v>0</v>
      </c>
      <c r="J145" s="30">
        <f>SUM(J146:J146)</f>
        <v>0</v>
      </c>
      <c r="K145" s="45"/>
      <c r="AI145" s="34"/>
      <c r="AS145" s="30">
        <f>SUM(AJ146:AJ146)</f>
        <v>0</v>
      </c>
      <c r="AT145" s="30">
        <f>SUM(AK146:AK146)</f>
        <v>0</v>
      </c>
      <c r="AU145" s="30">
        <f>SUM(AL146:AL146)</f>
        <v>0</v>
      </c>
    </row>
    <row r="146" spans="1:75" ht="13.5" customHeight="1">
      <c r="A146" s="21" t="s">
        <v>397</v>
      </c>
      <c r="B146" s="3" t="s">
        <v>398</v>
      </c>
      <c r="C146" s="229" t="s">
        <v>399</v>
      </c>
      <c r="D146" s="229"/>
      <c r="E146" s="3" t="s">
        <v>243</v>
      </c>
      <c r="F146" s="22">
        <v>0.75</v>
      </c>
      <c r="G146" s="22">
        <v>0</v>
      </c>
      <c r="H146" s="22">
        <f>F146*AO146</f>
        <v>0</v>
      </c>
      <c r="I146" s="22">
        <f>F146*AP146</f>
        <v>0</v>
      </c>
      <c r="J146" s="22">
        <f>F146*G146</f>
        <v>0</v>
      </c>
      <c r="K146" s="46" t="s">
        <v>167</v>
      </c>
      <c r="Z146" s="22">
        <f>IF(AQ146="5",BJ146,0)</f>
        <v>0</v>
      </c>
      <c r="AB146" s="22">
        <f>IF(AQ146="1",BH146,0)</f>
        <v>0</v>
      </c>
      <c r="AC146" s="22">
        <f>IF(AQ146="1",BI146,0)</f>
        <v>0</v>
      </c>
      <c r="AD146" s="22">
        <f>IF(AQ146="7",BH146,0)</f>
        <v>0</v>
      </c>
      <c r="AE146" s="22">
        <f>IF(AQ146="7",BI146,0)</f>
        <v>0</v>
      </c>
      <c r="AF146" s="22">
        <f>IF(AQ146="2",BH146,0)</f>
        <v>0</v>
      </c>
      <c r="AG146" s="22">
        <f>IF(AQ146="2",BI146,0)</f>
        <v>0</v>
      </c>
      <c r="AH146" s="22">
        <f>IF(AQ146="0",BJ146,0)</f>
        <v>0</v>
      </c>
      <c r="AI146" s="34"/>
      <c r="AJ146" s="22">
        <f>IF(AN146=0,J146,0)</f>
        <v>0</v>
      </c>
      <c r="AK146" s="22">
        <f>IF(AN146=15,J146,0)</f>
        <v>0</v>
      </c>
      <c r="AL146" s="22">
        <f>IF(AN146=21,J146,0)</f>
        <v>0</v>
      </c>
      <c r="AN146" s="22">
        <v>21</v>
      </c>
      <c r="AO146" s="22">
        <f>G146*0.681572897761646</f>
        <v>0</v>
      </c>
      <c r="AP146" s="22">
        <f>G146*(1-0.681572897761646)</f>
        <v>0</v>
      </c>
      <c r="AQ146" s="23" t="s">
        <v>212</v>
      </c>
      <c r="AV146" s="22">
        <f>AW146+AX146</f>
        <v>0</v>
      </c>
      <c r="AW146" s="22">
        <f>F146*AO146</f>
        <v>0</v>
      </c>
      <c r="AX146" s="22">
        <f>F146*AP146</f>
        <v>0</v>
      </c>
      <c r="AY146" s="23" t="s">
        <v>400</v>
      </c>
      <c r="AZ146" s="23" t="s">
        <v>401</v>
      </c>
      <c r="BA146" s="34" t="s">
        <v>170</v>
      </c>
      <c r="BC146" s="22">
        <f>AW146+AX146</f>
        <v>0</v>
      </c>
      <c r="BD146" s="22">
        <f>G146/(100-BE146)*100</f>
        <v>0</v>
      </c>
      <c r="BE146" s="22">
        <v>0</v>
      </c>
      <c r="BF146" s="22">
        <f>146</f>
        <v>146</v>
      </c>
      <c r="BH146" s="22">
        <f>F146*AO146</f>
        <v>0</v>
      </c>
      <c r="BI146" s="22">
        <f>F146*AP146</f>
        <v>0</v>
      </c>
      <c r="BJ146" s="22">
        <f>F146*G146</f>
        <v>0</v>
      </c>
      <c r="BK146" s="22"/>
      <c r="BL146" s="22">
        <v>764</v>
      </c>
      <c r="BW146" s="22">
        <v>21</v>
      </c>
    </row>
    <row r="147" spans="1:11" ht="15" customHeight="1">
      <c r="A147" s="47"/>
      <c r="C147" s="48" t="s">
        <v>402</v>
      </c>
      <c r="D147" s="48"/>
      <c r="F147" s="49">
        <v>0.7500000000000001</v>
      </c>
      <c r="K147" s="50"/>
    </row>
    <row r="148" spans="1:47" ht="15" customHeight="1">
      <c r="A148" s="42"/>
      <c r="B148" s="43" t="s">
        <v>95</v>
      </c>
      <c r="C148" s="267" t="s">
        <v>96</v>
      </c>
      <c r="D148" s="267"/>
      <c r="E148" s="44" t="s">
        <v>58</v>
      </c>
      <c r="F148" s="44" t="s">
        <v>58</v>
      </c>
      <c r="G148" s="44" t="s">
        <v>58</v>
      </c>
      <c r="H148" s="30">
        <f>SUM(H149:H155)</f>
        <v>0</v>
      </c>
      <c r="I148" s="30">
        <f>SUM(I149:I155)</f>
        <v>0</v>
      </c>
      <c r="J148" s="30">
        <f>SUM(J149:J155)</f>
        <v>0</v>
      </c>
      <c r="K148" s="45"/>
      <c r="AI148" s="34"/>
      <c r="AS148" s="30">
        <f>SUM(AJ149:AJ155)</f>
        <v>0</v>
      </c>
      <c r="AT148" s="30">
        <f>SUM(AK149:AK155)</f>
        <v>0</v>
      </c>
      <c r="AU148" s="30">
        <f>SUM(AL149:AL155)</f>
        <v>0</v>
      </c>
    </row>
    <row r="149" spans="1:75" ht="13.5" customHeight="1">
      <c r="A149" s="21" t="s">
        <v>403</v>
      </c>
      <c r="B149" s="3" t="s">
        <v>404</v>
      </c>
      <c r="C149" s="229" t="s">
        <v>405</v>
      </c>
      <c r="D149" s="229"/>
      <c r="E149" s="3" t="s">
        <v>207</v>
      </c>
      <c r="F149" s="22">
        <v>1</v>
      </c>
      <c r="G149" s="22">
        <v>0</v>
      </c>
      <c r="H149" s="22">
        <f>F149*AO149</f>
        <v>0</v>
      </c>
      <c r="I149" s="22">
        <f>F149*AP149</f>
        <v>0</v>
      </c>
      <c r="J149" s="22">
        <f>F149*G149</f>
        <v>0</v>
      </c>
      <c r="K149" s="46" t="s">
        <v>167</v>
      </c>
      <c r="Z149" s="22">
        <f>IF(AQ149="5",BJ149,0)</f>
        <v>0</v>
      </c>
      <c r="AB149" s="22">
        <f>IF(AQ149="1",BH149,0)</f>
        <v>0</v>
      </c>
      <c r="AC149" s="22">
        <f>IF(AQ149="1",BI149,0)</f>
        <v>0</v>
      </c>
      <c r="AD149" s="22">
        <f>IF(AQ149="7",BH149,0)</f>
        <v>0</v>
      </c>
      <c r="AE149" s="22">
        <f>IF(AQ149="7",BI149,0)</f>
        <v>0</v>
      </c>
      <c r="AF149" s="22">
        <f>IF(AQ149="2",BH149,0)</f>
        <v>0</v>
      </c>
      <c r="AG149" s="22">
        <f>IF(AQ149="2",BI149,0)</f>
        <v>0</v>
      </c>
      <c r="AH149" s="22">
        <f>IF(AQ149="0",BJ149,0)</f>
        <v>0</v>
      </c>
      <c r="AI149" s="34"/>
      <c r="AJ149" s="22">
        <f>IF(AN149=0,J149,0)</f>
        <v>0</v>
      </c>
      <c r="AK149" s="22">
        <f>IF(AN149=15,J149,0)</f>
        <v>0</v>
      </c>
      <c r="AL149" s="22">
        <f>IF(AN149=21,J149,0)</f>
        <v>0</v>
      </c>
      <c r="AN149" s="22">
        <v>21</v>
      </c>
      <c r="AO149" s="22">
        <f>G149*0.109109697933227</f>
        <v>0</v>
      </c>
      <c r="AP149" s="22">
        <f>G149*(1-0.109109697933227)</f>
        <v>0</v>
      </c>
      <c r="AQ149" s="23" t="s">
        <v>212</v>
      </c>
      <c r="AV149" s="22">
        <f>AW149+AX149</f>
        <v>0</v>
      </c>
      <c r="AW149" s="22">
        <f>F149*AO149</f>
        <v>0</v>
      </c>
      <c r="AX149" s="22">
        <f>F149*AP149</f>
        <v>0</v>
      </c>
      <c r="AY149" s="23" t="s">
        <v>406</v>
      </c>
      <c r="AZ149" s="23" t="s">
        <v>401</v>
      </c>
      <c r="BA149" s="34" t="s">
        <v>170</v>
      </c>
      <c r="BC149" s="22">
        <f>AW149+AX149</f>
        <v>0</v>
      </c>
      <c r="BD149" s="22">
        <f>G149/(100-BE149)*100</f>
        <v>0</v>
      </c>
      <c r="BE149" s="22">
        <v>0</v>
      </c>
      <c r="BF149" s="22">
        <f>149</f>
        <v>149</v>
      </c>
      <c r="BH149" s="22">
        <f>F149*AO149</f>
        <v>0</v>
      </c>
      <c r="BI149" s="22">
        <f>F149*AP149</f>
        <v>0</v>
      </c>
      <c r="BJ149" s="22">
        <f>F149*G149</f>
        <v>0</v>
      </c>
      <c r="BK149" s="22"/>
      <c r="BL149" s="22">
        <v>766</v>
      </c>
      <c r="BW149" s="22">
        <v>21</v>
      </c>
    </row>
    <row r="150" spans="1:11" ht="15" customHeight="1">
      <c r="A150" s="47"/>
      <c r="C150" s="48" t="s">
        <v>163</v>
      </c>
      <c r="D150" s="48" t="s">
        <v>407</v>
      </c>
      <c r="F150" s="49">
        <v>1</v>
      </c>
      <c r="K150" s="50"/>
    </row>
    <row r="151" spans="1:11" ht="27" customHeight="1">
      <c r="A151" s="47"/>
      <c r="B151" s="51" t="s">
        <v>175</v>
      </c>
      <c r="C151" s="268" t="s">
        <v>408</v>
      </c>
      <c r="D151" s="268"/>
      <c r="E151" s="268"/>
      <c r="F151" s="268"/>
      <c r="G151" s="268"/>
      <c r="H151" s="268"/>
      <c r="I151" s="268"/>
      <c r="J151" s="268"/>
      <c r="K151" s="268"/>
    </row>
    <row r="152" spans="1:75" ht="27" customHeight="1">
      <c r="A152" s="21" t="s">
        <v>409</v>
      </c>
      <c r="B152" s="3" t="s">
        <v>410</v>
      </c>
      <c r="C152" s="229" t="s">
        <v>411</v>
      </c>
      <c r="D152" s="229"/>
      <c r="E152" s="3" t="s">
        <v>243</v>
      </c>
      <c r="F152" s="22">
        <v>34.44</v>
      </c>
      <c r="G152" s="22">
        <v>0</v>
      </c>
      <c r="H152" s="22">
        <f>F152*AO152</f>
        <v>0</v>
      </c>
      <c r="I152" s="22">
        <f>F152*AP152</f>
        <v>0</v>
      </c>
      <c r="J152" s="22">
        <f>F152*G152</f>
        <v>0</v>
      </c>
      <c r="K152" s="46" t="s">
        <v>167</v>
      </c>
      <c r="Z152" s="22">
        <f>IF(AQ152="5",BJ152,0)</f>
        <v>0</v>
      </c>
      <c r="AB152" s="22">
        <f>IF(AQ152="1",BH152,0)</f>
        <v>0</v>
      </c>
      <c r="AC152" s="22">
        <f>IF(AQ152="1",BI152,0)</f>
        <v>0</v>
      </c>
      <c r="AD152" s="22">
        <f>IF(AQ152="7",BH152,0)</f>
        <v>0</v>
      </c>
      <c r="AE152" s="22">
        <f>IF(AQ152="7",BI152,0)</f>
        <v>0</v>
      </c>
      <c r="AF152" s="22">
        <f>IF(AQ152="2",BH152,0)</f>
        <v>0</v>
      </c>
      <c r="AG152" s="22">
        <f>IF(AQ152="2",BI152,0)</f>
        <v>0</v>
      </c>
      <c r="AH152" s="22">
        <f>IF(AQ152="0",BJ152,0)</f>
        <v>0</v>
      </c>
      <c r="AI152" s="34"/>
      <c r="AJ152" s="22">
        <f>IF(AN152=0,J152,0)</f>
        <v>0</v>
      </c>
      <c r="AK152" s="22">
        <f>IF(AN152=15,J152,0)</f>
        <v>0</v>
      </c>
      <c r="AL152" s="22">
        <f>IF(AN152=21,J152,0)</f>
        <v>0</v>
      </c>
      <c r="AN152" s="22">
        <v>21</v>
      </c>
      <c r="AO152" s="22">
        <f>G152*0.263232032239141</f>
        <v>0</v>
      </c>
      <c r="AP152" s="22">
        <f>G152*(1-0.263232032239141)</f>
        <v>0</v>
      </c>
      <c r="AQ152" s="23" t="s">
        <v>212</v>
      </c>
      <c r="AV152" s="22">
        <f>AW152+AX152</f>
        <v>0</v>
      </c>
      <c r="AW152" s="22">
        <f>F152*AO152</f>
        <v>0</v>
      </c>
      <c r="AX152" s="22">
        <f>F152*AP152</f>
        <v>0</v>
      </c>
      <c r="AY152" s="23" t="s">
        <v>406</v>
      </c>
      <c r="AZ152" s="23" t="s">
        <v>401</v>
      </c>
      <c r="BA152" s="34" t="s">
        <v>170</v>
      </c>
      <c r="BC152" s="22">
        <f>AW152+AX152</f>
        <v>0</v>
      </c>
      <c r="BD152" s="22">
        <f>G152/(100-BE152)*100</f>
        <v>0</v>
      </c>
      <c r="BE152" s="22">
        <v>0</v>
      </c>
      <c r="BF152" s="22">
        <f>152</f>
        <v>152</v>
      </c>
      <c r="BH152" s="22">
        <f>F152*AO152</f>
        <v>0</v>
      </c>
      <c r="BI152" s="22">
        <f>F152*AP152</f>
        <v>0</v>
      </c>
      <c r="BJ152" s="22">
        <f>F152*G152</f>
        <v>0</v>
      </c>
      <c r="BK152" s="22"/>
      <c r="BL152" s="22">
        <v>766</v>
      </c>
      <c r="BW152" s="22">
        <v>21</v>
      </c>
    </row>
    <row r="153" spans="1:11" ht="15" customHeight="1">
      <c r="A153" s="47"/>
      <c r="C153" s="48" t="s">
        <v>412</v>
      </c>
      <c r="D153" s="48" t="s">
        <v>413</v>
      </c>
      <c r="F153" s="49">
        <v>34.440000000000005</v>
      </c>
      <c r="K153" s="50"/>
    </row>
    <row r="154" spans="1:11" ht="13.5" customHeight="1">
      <c r="A154" s="47"/>
      <c r="B154" s="51" t="s">
        <v>175</v>
      </c>
      <c r="C154" s="268" t="s">
        <v>414</v>
      </c>
      <c r="D154" s="268"/>
      <c r="E154" s="268"/>
      <c r="F154" s="268"/>
      <c r="G154" s="268"/>
      <c r="H154" s="268"/>
      <c r="I154" s="268"/>
      <c r="J154" s="268"/>
      <c r="K154" s="268"/>
    </row>
    <row r="155" spans="1:75" ht="13.5" customHeight="1">
      <c r="A155" s="21" t="s">
        <v>415</v>
      </c>
      <c r="B155" s="3" t="s">
        <v>416</v>
      </c>
      <c r="C155" s="229" t="s">
        <v>417</v>
      </c>
      <c r="D155" s="229"/>
      <c r="E155" s="3" t="s">
        <v>323</v>
      </c>
      <c r="F155" s="22">
        <v>0.011</v>
      </c>
      <c r="G155" s="22">
        <v>0</v>
      </c>
      <c r="H155" s="22">
        <f>F155*AO155</f>
        <v>0</v>
      </c>
      <c r="I155" s="22">
        <f>F155*AP155</f>
        <v>0</v>
      </c>
      <c r="J155" s="22">
        <f>F155*G155</f>
        <v>0</v>
      </c>
      <c r="K155" s="46" t="s">
        <v>167</v>
      </c>
      <c r="Z155" s="22">
        <f>IF(AQ155="5",BJ155,0)</f>
        <v>0</v>
      </c>
      <c r="AB155" s="22">
        <f>IF(AQ155="1",BH155,0)</f>
        <v>0</v>
      </c>
      <c r="AC155" s="22">
        <f>IF(AQ155="1",BI155,0)</f>
        <v>0</v>
      </c>
      <c r="AD155" s="22">
        <f>IF(AQ155="7",BH155,0)</f>
        <v>0</v>
      </c>
      <c r="AE155" s="22">
        <f>IF(AQ155="7",BI155,0)</f>
        <v>0</v>
      </c>
      <c r="AF155" s="22">
        <f>IF(AQ155="2",BH155,0)</f>
        <v>0</v>
      </c>
      <c r="AG155" s="22">
        <f>IF(AQ155="2",BI155,0)</f>
        <v>0</v>
      </c>
      <c r="AH155" s="22">
        <f>IF(AQ155="0",BJ155,0)</f>
        <v>0</v>
      </c>
      <c r="AI155" s="34"/>
      <c r="AJ155" s="22">
        <f>IF(AN155=0,J155,0)</f>
        <v>0</v>
      </c>
      <c r="AK155" s="22">
        <f>IF(AN155=15,J155,0)</f>
        <v>0</v>
      </c>
      <c r="AL155" s="22">
        <f>IF(AN155=21,J155,0)</f>
        <v>0</v>
      </c>
      <c r="AN155" s="22">
        <v>21</v>
      </c>
      <c r="AO155" s="22">
        <f>G155*0</f>
        <v>0</v>
      </c>
      <c r="AP155" s="22">
        <f>G155*(1-0)</f>
        <v>0</v>
      </c>
      <c r="AQ155" s="23" t="s">
        <v>194</v>
      </c>
      <c r="AV155" s="22">
        <f>AW155+AX155</f>
        <v>0</v>
      </c>
      <c r="AW155" s="22">
        <f>F155*AO155</f>
        <v>0</v>
      </c>
      <c r="AX155" s="22">
        <f>F155*AP155</f>
        <v>0</v>
      </c>
      <c r="AY155" s="23" t="s">
        <v>406</v>
      </c>
      <c r="AZ155" s="23" t="s">
        <v>401</v>
      </c>
      <c r="BA155" s="34" t="s">
        <v>170</v>
      </c>
      <c r="BC155" s="22">
        <f>AW155+AX155</f>
        <v>0</v>
      </c>
      <c r="BD155" s="22">
        <f>G155/(100-BE155)*100</f>
        <v>0</v>
      </c>
      <c r="BE155" s="22">
        <v>0</v>
      </c>
      <c r="BF155" s="22">
        <f>155</f>
        <v>155</v>
      </c>
      <c r="BH155" s="22">
        <f>F155*AO155</f>
        <v>0</v>
      </c>
      <c r="BI155" s="22">
        <f>F155*AP155</f>
        <v>0</v>
      </c>
      <c r="BJ155" s="22">
        <f>F155*G155</f>
        <v>0</v>
      </c>
      <c r="BK155" s="22"/>
      <c r="BL155" s="22">
        <v>766</v>
      </c>
      <c r="BW155" s="22">
        <v>21</v>
      </c>
    </row>
    <row r="156" spans="1:11" ht="15" customHeight="1">
      <c r="A156" s="47"/>
      <c r="C156" s="48" t="s">
        <v>418</v>
      </c>
      <c r="D156" s="48"/>
      <c r="F156" s="49">
        <v>0.011000000000000001</v>
      </c>
      <c r="K156" s="50"/>
    </row>
    <row r="157" spans="1:47" ht="15" customHeight="1">
      <c r="A157" s="42"/>
      <c r="B157" s="43" t="s">
        <v>97</v>
      </c>
      <c r="C157" s="267" t="s">
        <v>98</v>
      </c>
      <c r="D157" s="267"/>
      <c r="E157" s="44" t="s">
        <v>58</v>
      </c>
      <c r="F157" s="44" t="s">
        <v>58</v>
      </c>
      <c r="G157" s="44" t="s">
        <v>58</v>
      </c>
      <c r="H157" s="30">
        <f>SUM(H158:H169)</f>
        <v>0</v>
      </c>
      <c r="I157" s="30">
        <f>SUM(I158:I169)</f>
        <v>0</v>
      </c>
      <c r="J157" s="30">
        <f>SUM(J158:J169)</f>
        <v>0</v>
      </c>
      <c r="K157" s="45"/>
      <c r="AI157" s="34"/>
      <c r="AS157" s="30">
        <f>SUM(AJ158:AJ169)</f>
        <v>0</v>
      </c>
      <c r="AT157" s="30">
        <f>SUM(AK158:AK169)</f>
        <v>0</v>
      </c>
      <c r="AU157" s="30">
        <f>SUM(AL158:AL169)</f>
        <v>0</v>
      </c>
    </row>
    <row r="158" spans="1:75" ht="13.5" customHeight="1">
      <c r="A158" s="21" t="s">
        <v>419</v>
      </c>
      <c r="B158" s="3" t="s">
        <v>420</v>
      </c>
      <c r="C158" s="229" t="s">
        <v>421</v>
      </c>
      <c r="D158" s="229"/>
      <c r="E158" s="3" t="s">
        <v>395</v>
      </c>
      <c r="F158" s="22">
        <v>2</v>
      </c>
      <c r="G158" s="22">
        <v>0</v>
      </c>
      <c r="H158" s="22">
        <f>F158*AO158</f>
        <v>0</v>
      </c>
      <c r="I158" s="22">
        <f>F158*AP158</f>
        <v>0</v>
      </c>
      <c r="J158" s="22">
        <f>F158*G158</f>
        <v>0</v>
      </c>
      <c r="K158" s="46" t="s">
        <v>167</v>
      </c>
      <c r="Z158" s="22">
        <f>IF(AQ158="5",BJ158,0)</f>
        <v>0</v>
      </c>
      <c r="AB158" s="22">
        <f>IF(AQ158="1",BH158,0)</f>
        <v>0</v>
      </c>
      <c r="AC158" s="22">
        <f>IF(AQ158="1",BI158,0)</f>
        <v>0</v>
      </c>
      <c r="AD158" s="22">
        <f>IF(AQ158="7",BH158,0)</f>
        <v>0</v>
      </c>
      <c r="AE158" s="22">
        <f>IF(AQ158="7",BI158,0)</f>
        <v>0</v>
      </c>
      <c r="AF158" s="22">
        <f>IF(AQ158="2",BH158,0)</f>
        <v>0</v>
      </c>
      <c r="AG158" s="22">
        <f>IF(AQ158="2",BI158,0)</f>
        <v>0</v>
      </c>
      <c r="AH158" s="22">
        <f>IF(AQ158="0",BJ158,0)</f>
        <v>0</v>
      </c>
      <c r="AI158" s="34"/>
      <c r="AJ158" s="22">
        <f>IF(AN158=0,J158,0)</f>
        <v>0</v>
      </c>
      <c r="AK158" s="22">
        <f>IF(AN158=15,J158,0)</f>
        <v>0</v>
      </c>
      <c r="AL158" s="22">
        <f>IF(AN158=21,J158,0)</f>
        <v>0</v>
      </c>
      <c r="AN158" s="22">
        <v>21</v>
      </c>
      <c r="AO158" s="22">
        <f>G158*0</f>
        <v>0</v>
      </c>
      <c r="AP158" s="22">
        <f>G158*(1-0)</f>
        <v>0</v>
      </c>
      <c r="AQ158" s="23" t="s">
        <v>212</v>
      </c>
      <c r="AV158" s="22">
        <f>AW158+AX158</f>
        <v>0</v>
      </c>
      <c r="AW158" s="22">
        <f>F158*AO158</f>
        <v>0</v>
      </c>
      <c r="AX158" s="22">
        <f>F158*AP158</f>
        <v>0</v>
      </c>
      <c r="AY158" s="23" t="s">
        <v>422</v>
      </c>
      <c r="AZ158" s="23" t="s">
        <v>401</v>
      </c>
      <c r="BA158" s="34" t="s">
        <v>170</v>
      </c>
      <c r="BC158" s="22">
        <f>AW158+AX158</f>
        <v>0</v>
      </c>
      <c r="BD158" s="22">
        <f>G158/(100-BE158)*100</f>
        <v>0</v>
      </c>
      <c r="BE158" s="22">
        <v>0</v>
      </c>
      <c r="BF158" s="22">
        <f>158</f>
        <v>158</v>
      </c>
      <c r="BH158" s="22">
        <f>F158*AO158</f>
        <v>0</v>
      </c>
      <c r="BI158" s="22">
        <f>F158*AP158</f>
        <v>0</v>
      </c>
      <c r="BJ158" s="22">
        <f>F158*G158</f>
        <v>0</v>
      </c>
      <c r="BK158" s="22"/>
      <c r="BL158" s="22">
        <v>767</v>
      </c>
      <c r="BW158" s="22">
        <v>21</v>
      </c>
    </row>
    <row r="159" spans="1:11" ht="15" customHeight="1">
      <c r="A159" s="47"/>
      <c r="C159" s="48" t="s">
        <v>177</v>
      </c>
      <c r="D159" s="48" t="s">
        <v>423</v>
      </c>
      <c r="F159" s="49">
        <v>2</v>
      </c>
      <c r="K159" s="50"/>
    </row>
    <row r="160" spans="1:75" ht="13.5" customHeight="1">
      <c r="A160" s="21" t="s">
        <v>424</v>
      </c>
      <c r="B160" s="3" t="s">
        <v>321</v>
      </c>
      <c r="C160" s="229" t="s">
        <v>322</v>
      </c>
      <c r="D160" s="229"/>
      <c r="E160" s="3" t="s">
        <v>323</v>
      </c>
      <c r="F160" s="22">
        <v>3.36</v>
      </c>
      <c r="G160" s="22">
        <v>0</v>
      </c>
      <c r="H160" s="22">
        <f>F160*AO160</f>
        <v>0</v>
      </c>
      <c r="I160" s="22">
        <f>F160*AP160</f>
        <v>0</v>
      </c>
      <c r="J160" s="22">
        <f>F160*G160</f>
        <v>0</v>
      </c>
      <c r="K160" s="46" t="s">
        <v>167</v>
      </c>
      <c r="Z160" s="22">
        <f>IF(AQ160="5",BJ160,0)</f>
        <v>0</v>
      </c>
      <c r="AB160" s="22">
        <f>IF(AQ160="1",BH160,0)</f>
        <v>0</v>
      </c>
      <c r="AC160" s="22">
        <f>IF(AQ160="1",BI160,0)</f>
        <v>0</v>
      </c>
      <c r="AD160" s="22">
        <f>IF(AQ160="7",BH160,0)</f>
        <v>0</v>
      </c>
      <c r="AE160" s="22">
        <f>IF(AQ160="7",BI160,0)</f>
        <v>0</v>
      </c>
      <c r="AF160" s="22">
        <f>IF(AQ160="2",BH160,0)</f>
        <v>0</v>
      </c>
      <c r="AG160" s="22">
        <f>IF(AQ160="2",BI160,0)</f>
        <v>0</v>
      </c>
      <c r="AH160" s="22">
        <f>IF(AQ160="0",BJ160,0)</f>
        <v>0</v>
      </c>
      <c r="AI160" s="34"/>
      <c r="AJ160" s="22">
        <f>IF(AN160=0,J160,0)</f>
        <v>0</v>
      </c>
      <c r="AK160" s="22">
        <f>IF(AN160=15,J160,0)</f>
        <v>0</v>
      </c>
      <c r="AL160" s="22">
        <f>IF(AN160=21,J160,0)</f>
        <v>0</v>
      </c>
      <c r="AN160" s="22">
        <v>21</v>
      </c>
      <c r="AO160" s="22">
        <f>G160*0</f>
        <v>0</v>
      </c>
      <c r="AP160" s="22">
        <f>G160*(1-0)</f>
        <v>0</v>
      </c>
      <c r="AQ160" s="23" t="s">
        <v>194</v>
      </c>
      <c r="AV160" s="22">
        <f>AW160+AX160</f>
        <v>0</v>
      </c>
      <c r="AW160" s="22">
        <f>F160*AO160</f>
        <v>0</v>
      </c>
      <c r="AX160" s="22">
        <f>F160*AP160</f>
        <v>0</v>
      </c>
      <c r="AY160" s="23" t="s">
        <v>422</v>
      </c>
      <c r="AZ160" s="23" t="s">
        <v>401</v>
      </c>
      <c r="BA160" s="34" t="s">
        <v>170</v>
      </c>
      <c r="BC160" s="22">
        <f>AW160+AX160</f>
        <v>0</v>
      </c>
      <c r="BD160" s="22">
        <f>G160/(100-BE160)*100</f>
        <v>0</v>
      </c>
      <c r="BE160" s="22">
        <v>0</v>
      </c>
      <c r="BF160" s="22">
        <f>160</f>
        <v>160</v>
      </c>
      <c r="BH160" s="22">
        <f>F160*AO160</f>
        <v>0</v>
      </c>
      <c r="BI160" s="22">
        <f>F160*AP160</f>
        <v>0</v>
      </c>
      <c r="BJ160" s="22">
        <f>F160*G160</f>
        <v>0</v>
      </c>
      <c r="BK160" s="22"/>
      <c r="BL160" s="22">
        <v>767</v>
      </c>
      <c r="BW160" s="22">
        <v>21</v>
      </c>
    </row>
    <row r="161" spans="1:11" ht="15" customHeight="1">
      <c r="A161" s="47"/>
      <c r="C161" s="48" t="s">
        <v>425</v>
      </c>
      <c r="D161" s="48"/>
      <c r="F161" s="49">
        <v>3.3600000000000003</v>
      </c>
      <c r="K161" s="50"/>
    </row>
    <row r="162" spans="1:11" ht="27" customHeight="1">
      <c r="A162" s="47"/>
      <c r="B162" s="51" t="s">
        <v>175</v>
      </c>
      <c r="C162" s="268" t="s">
        <v>325</v>
      </c>
      <c r="D162" s="268"/>
      <c r="E162" s="268"/>
      <c r="F162" s="268"/>
      <c r="G162" s="268"/>
      <c r="H162" s="268"/>
      <c r="I162" s="268"/>
      <c r="J162" s="268"/>
      <c r="K162" s="268"/>
    </row>
    <row r="163" spans="1:75" ht="13.5" customHeight="1">
      <c r="A163" s="21" t="s">
        <v>426</v>
      </c>
      <c r="B163" s="3" t="s">
        <v>327</v>
      </c>
      <c r="C163" s="229" t="s">
        <v>328</v>
      </c>
      <c r="D163" s="229"/>
      <c r="E163" s="3" t="s">
        <v>323</v>
      </c>
      <c r="F163" s="22">
        <v>3.36</v>
      </c>
      <c r="G163" s="22">
        <v>0</v>
      </c>
      <c r="H163" s="22">
        <f>F163*AO163</f>
        <v>0</v>
      </c>
      <c r="I163" s="22">
        <f>F163*AP163</f>
        <v>0</v>
      </c>
      <c r="J163" s="22">
        <f>F163*G163</f>
        <v>0</v>
      </c>
      <c r="K163" s="46" t="s">
        <v>167</v>
      </c>
      <c r="Z163" s="22">
        <f>IF(AQ163="5",BJ163,0)</f>
        <v>0</v>
      </c>
      <c r="AB163" s="22">
        <f>IF(AQ163="1",BH163,0)</f>
        <v>0</v>
      </c>
      <c r="AC163" s="22">
        <f>IF(AQ163="1",BI163,0)</f>
        <v>0</v>
      </c>
      <c r="AD163" s="22">
        <f>IF(AQ163="7",BH163,0)</f>
        <v>0</v>
      </c>
      <c r="AE163" s="22">
        <f>IF(AQ163="7",BI163,0)</f>
        <v>0</v>
      </c>
      <c r="AF163" s="22">
        <f>IF(AQ163="2",BH163,0)</f>
        <v>0</v>
      </c>
      <c r="AG163" s="22">
        <f>IF(AQ163="2",BI163,0)</f>
        <v>0</v>
      </c>
      <c r="AH163" s="22">
        <f>IF(AQ163="0",BJ163,0)</f>
        <v>0</v>
      </c>
      <c r="AI163" s="34"/>
      <c r="AJ163" s="22">
        <f>IF(AN163=0,J163,0)</f>
        <v>0</v>
      </c>
      <c r="AK163" s="22">
        <f>IF(AN163=15,J163,0)</f>
        <v>0</v>
      </c>
      <c r="AL163" s="22">
        <f>IF(AN163=21,J163,0)</f>
        <v>0</v>
      </c>
      <c r="AN163" s="22">
        <v>21</v>
      </c>
      <c r="AO163" s="22">
        <f>G163*0</f>
        <v>0</v>
      </c>
      <c r="AP163" s="22">
        <f>G163*(1-0)</f>
        <v>0</v>
      </c>
      <c r="AQ163" s="23" t="s">
        <v>194</v>
      </c>
      <c r="AV163" s="22">
        <f>AW163+AX163</f>
        <v>0</v>
      </c>
      <c r="AW163" s="22">
        <f>F163*AO163</f>
        <v>0</v>
      </c>
      <c r="AX163" s="22">
        <f>F163*AP163</f>
        <v>0</v>
      </c>
      <c r="AY163" s="23" t="s">
        <v>422</v>
      </c>
      <c r="AZ163" s="23" t="s">
        <v>401</v>
      </c>
      <c r="BA163" s="34" t="s">
        <v>170</v>
      </c>
      <c r="BC163" s="22">
        <f>AW163+AX163</f>
        <v>0</v>
      </c>
      <c r="BD163" s="22">
        <f>G163/(100-BE163)*100</f>
        <v>0</v>
      </c>
      <c r="BE163" s="22">
        <v>0</v>
      </c>
      <c r="BF163" s="22">
        <f>163</f>
        <v>163</v>
      </c>
      <c r="BH163" s="22">
        <f>F163*AO163</f>
        <v>0</v>
      </c>
      <c r="BI163" s="22">
        <f>F163*AP163</f>
        <v>0</v>
      </c>
      <c r="BJ163" s="22">
        <f>F163*G163</f>
        <v>0</v>
      </c>
      <c r="BK163" s="22"/>
      <c r="BL163" s="22">
        <v>767</v>
      </c>
      <c r="BW163" s="22">
        <v>21</v>
      </c>
    </row>
    <row r="164" spans="1:11" ht="15" customHeight="1">
      <c r="A164" s="47"/>
      <c r="C164" s="48" t="s">
        <v>425</v>
      </c>
      <c r="D164" s="48"/>
      <c r="F164" s="49">
        <v>3.3600000000000003</v>
      </c>
      <c r="K164" s="50"/>
    </row>
    <row r="165" spans="1:11" ht="13.5" customHeight="1">
      <c r="A165" s="47"/>
      <c r="B165" s="51" t="s">
        <v>175</v>
      </c>
      <c r="C165" s="268" t="s">
        <v>329</v>
      </c>
      <c r="D165" s="268"/>
      <c r="E165" s="268"/>
      <c r="F165" s="268"/>
      <c r="G165" s="268"/>
      <c r="H165" s="268"/>
      <c r="I165" s="268"/>
      <c r="J165" s="268"/>
      <c r="K165" s="268"/>
    </row>
    <row r="166" spans="1:75" ht="13.5" customHeight="1">
      <c r="A166" s="21" t="s">
        <v>427</v>
      </c>
      <c r="B166" s="3" t="s">
        <v>331</v>
      </c>
      <c r="C166" s="229" t="s">
        <v>332</v>
      </c>
      <c r="D166" s="229"/>
      <c r="E166" s="3" t="s">
        <v>323</v>
      </c>
      <c r="F166" s="22">
        <v>3.36</v>
      </c>
      <c r="G166" s="22">
        <v>0</v>
      </c>
      <c r="H166" s="22">
        <f>F166*AO166</f>
        <v>0</v>
      </c>
      <c r="I166" s="22">
        <f>F166*AP166</f>
        <v>0</v>
      </c>
      <c r="J166" s="22">
        <f>F166*G166</f>
        <v>0</v>
      </c>
      <c r="K166" s="46" t="s">
        <v>167</v>
      </c>
      <c r="Z166" s="22">
        <f>IF(AQ166="5",BJ166,0)</f>
        <v>0</v>
      </c>
      <c r="AB166" s="22">
        <f>IF(AQ166="1",BH166,0)</f>
        <v>0</v>
      </c>
      <c r="AC166" s="22">
        <f>IF(AQ166="1",BI166,0)</f>
        <v>0</v>
      </c>
      <c r="AD166" s="22">
        <f>IF(AQ166="7",BH166,0)</f>
        <v>0</v>
      </c>
      <c r="AE166" s="22">
        <f>IF(AQ166="7",BI166,0)</f>
        <v>0</v>
      </c>
      <c r="AF166" s="22">
        <f>IF(AQ166="2",BH166,0)</f>
        <v>0</v>
      </c>
      <c r="AG166" s="22">
        <f>IF(AQ166="2",BI166,0)</f>
        <v>0</v>
      </c>
      <c r="AH166" s="22">
        <f>IF(AQ166="0",BJ166,0)</f>
        <v>0</v>
      </c>
      <c r="AI166" s="34"/>
      <c r="AJ166" s="22">
        <f>IF(AN166=0,J166,0)</f>
        <v>0</v>
      </c>
      <c r="AK166" s="22">
        <f>IF(AN166=15,J166,0)</f>
        <v>0</v>
      </c>
      <c r="AL166" s="22">
        <f>IF(AN166=21,J166,0)</f>
        <v>0</v>
      </c>
      <c r="AN166" s="22">
        <v>21</v>
      </c>
      <c r="AO166" s="22">
        <f>G166*0.0142512908777969</f>
        <v>0</v>
      </c>
      <c r="AP166" s="22">
        <f>G166*(1-0.0142512908777969)</f>
        <v>0</v>
      </c>
      <c r="AQ166" s="23" t="s">
        <v>194</v>
      </c>
      <c r="AV166" s="22">
        <f>AW166+AX166</f>
        <v>0</v>
      </c>
      <c r="AW166" s="22">
        <f>F166*AO166</f>
        <v>0</v>
      </c>
      <c r="AX166" s="22">
        <f>F166*AP166</f>
        <v>0</v>
      </c>
      <c r="AY166" s="23" t="s">
        <v>422</v>
      </c>
      <c r="AZ166" s="23" t="s">
        <v>401</v>
      </c>
      <c r="BA166" s="34" t="s">
        <v>170</v>
      </c>
      <c r="BC166" s="22">
        <f>AW166+AX166</f>
        <v>0</v>
      </c>
      <c r="BD166" s="22">
        <f>G166/(100-BE166)*100</f>
        <v>0</v>
      </c>
      <c r="BE166" s="22">
        <v>0</v>
      </c>
      <c r="BF166" s="22">
        <f>166</f>
        <v>166</v>
      </c>
      <c r="BH166" s="22">
        <f>F166*AO166</f>
        <v>0</v>
      </c>
      <c r="BI166" s="22">
        <f>F166*AP166</f>
        <v>0</v>
      </c>
      <c r="BJ166" s="22">
        <f>F166*G166</f>
        <v>0</v>
      </c>
      <c r="BK166" s="22"/>
      <c r="BL166" s="22">
        <v>767</v>
      </c>
      <c r="BW166" s="22">
        <v>21</v>
      </c>
    </row>
    <row r="167" spans="1:11" ht="15" customHeight="1">
      <c r="A167" s="47"/>
      <c r="C167" s="48" t="s">
        <v>425</v>
      </c>
      <c r="D167" s="48"/>
      <c r="F167" s="49">
        <v>3.3600000000000003</v>
      </c>
      <c r="K167" s="50"/>
    </row>
    <row r="168" spans="1:11" ht="13.5" customHeight="1">
      <c r="A168" s="47"/>
      <c r="B168" s="51" t="s">
        <v>175</v>
      </c>
      <c r="C168" s="268" t="s">
        <v>333</v>
      </c>
      <c r="D168" s="268"/>
      <c r="E168" s="268"/>
      <c r="F168" s="268"/>
      <c r="G168" s="268"/>
      <c r="H168" s="268"/>
      <c r="I168" s="268"/>
      <c r="J168" s="268"/>
      <c r="K168" s="268"/>
    </row>
    <row r="169" spans="1:75" ht="13.5" customHeight="1">
      <c r="A169" s="21" t="s">
        <v>428</v>
      </c>
      <c r="B169" s="3" t="s">
        <v>429</v>
      </c>
      <c r="C169" s="229" t="s">
        <v>430</v>
      </c>
      <c r="D169" s="229"/>
      <c r="E169" s="3" t="s">
        <v>323</v>
      </c>
      <c r="F169" s="22">
        <v>3.36</v>
      </c>
      <c r="G169" s="22">
        <v>0</v>
      </c>
      <c r="H169" s="22">
        <f>F169*AO169</f>
        <v>0</v>
      </c>
      <c r="I169" s="22">
        <f>F169*AP169</f>
        <v>0</v>
      </c>
      <c r="J169" s="22">
        <f>F169*G169</f>
        <v>0</v>
      </c>
      <c r="K169" s="46" t="s">
        <v>167</v>
      </c>
      <c r="Z169" s="22">
        <f>IF(AQ169="5",BJ169,0)</f>
        <v>0</v>
      </c>
      <c r="AB169" s="22">
        <f>IF(AQ169="1",BH169,0)</f>
        <v>0</v>
      </c>
      <c r="AC169" s="22">
        <f>IF(AQ169="1",BI169,0)</f>
        <v>0</v>
      </c>
      <c r="AD169" s="22">
        <f>IF(AQ169="7",BH169,0)</f>
        <v>0</v>
      </c>
      <c r="AE169" s="22">
        <f>IF(AQ169="7",BI169,0)</f>
        <v>0</v>
      </c>
      <c r="AF169" s="22">
        <f>IF(AQ169="2",BH169,0)</f>
        <v>0</v>
      </c>
      <c r="AG169" s="22">
        <f>IF(AQ169="2",BI169,0)</f>
        <v>0</v>
      </c>
      <c r="AH169" s="22">
        <f>IF(AQ169="0",BJ169,0)</f>
        <v>0</v>
      </c>
      <c r="AI169" s="34"/>
      <c r="AJ169" s="22">
        <f>IF(AN169=0,J169,0)</f>
        <v>0</v>
      </c>
      <c r="AK169" s="22">
        <f>IF(AN169=15,J169,0)</f>
        <v>0</v>
      </c>
      <c r="AL169" s="22">
        <f>IF(AN169=21,J169,0)</f>
        <v>0</v>
      </c>
      <c r="AN169" s="22">
        <v>21</v>
      </c>
      <c r="AO169" s="22">
        <f>G169*0</f>
        <v>0</v>
      </c>
      <c r="AP169" s="22">
        <f>G169*(1-0)</f>
        <v>0</v>
      </c>
      <c r="AQ169" s="23" t="s">
        <v>194</v>
      </c>
      <c r="AV169" s="22">
        <f>AW169+AX169</f>
        <v>0</v>
      </c>
      <c r="AW169" s="22">
        <f>F169*AO169</f>
        <v>0</v>
      </c>
      <c r="AX169" s="22">
        <f>F169*AP169</f>
        <v>0</v>
      </c>
      <c r="AY169" s="23" t="s">
        <v>422</v>
      </c>
      <c r="AZ169" s="23" t="s">
        <v>401</v>
      </c>
      <c r="BA169" s="34" t="s">
        <v>170</v>
      </c>
      <c r="BC169" s="22">
        <f>AW169+AX169</f>
        <v>0</v>
      </c>
      <c r="BD169" s="22">
        <f>G169/(100-BE169)*100</f>
        <v>0</v>
      </c>
      <c r="BE169" s="22">
        <v>0</v>
      </c>
      <c r="BF169" s="22">
        <f>169</f>
        <v>169</v>
      </c>
      <c r="BH169" s="22">
        <f>F169*AO169</f>
        <v>0</v>
      </c>
      <c r="BI169" s="22">
        <f>F169*AP169</f>
        <v>0</v>
      </c>
      <c r="BJ169" s="22">
        <f>F169*G169</f>
        <v>0</v>
      </c>
      <c r="BK169" s="22"/>
      <c r="BL169" s="22">
        <v>767</v>
      </c>
      <c r="BW169" s="22">
        <v>21</v>
      </c>
    </row>
    <row r="170" spans="1:11" ht="15" customHeight="1">
      <c r="A170" s="47"/>
      <c r="C170" s="48" t="s">
        <v>425</v>
      </c>
      <c r="D170" s="48"/>
      <c r="F170" s="49">
        <v>3.3600000000000003</v>
      </c>
      <c r="K170" s="50"/>
    </row>
    <row r="171" spans="1:11" ht="13.5" customHeight="1">
      <c r="A171" s="47"/>
      <c r="B171" s="51" t="s">
        <v>175</v>
      </c>
      <c r="C171" s="268" t="s">
        <v>431</v>
      </c>
      <c r="D171" s="268"/>
      <c r="E171" s="268"/>
      <c r="F171" s="268"/>
      <c r="G171" s="268"/>
      <c r="H171" s="268"/>
      <c r="I171" s="268"/>
      <c r="J171" s="268"/>
      <c r="K171" s="268"/>
    </row>
    <row r="172" spans="1:47" ht="15" customHeight="1">
      <c r="A172" s="42"/>
      <c r="B172" s="43" t="s">
        <v>99</v>
      </c>
      <c r="C172" s="267" t="s">
        <v>100</v>
      </c>
      <c r="D172" s="267"/>
      <c r="E172" s="44" t="s">
        <v>58</v>
      </c>
      <c r="F172" s="44" t="s">
        <v>58</v>
      </c>
      <c r="G172" s="44" t="s">
        <v>58</v>
      </c>
      <c r="H172" s="30">
        <f>SUM(H173:H195)</f>
        <v>0</v>
      </c>
      <c r="I172" s="30">
        <f>SUM(I173:I195)</f>
        <v>0</v>
      </c>
      <c r="J172" s="30">
        <f>SUM(J173:J195)</f>
        <v>0</v>
      </c>
      <c r="K172" s="45"/>
      <c r="AI172" s="34"/>
      <c r="AS172" s="30">
        <f>SUM(AJ173:AJ195)</f>
        <v>0</v>
      </c>
      <c r="AT172" s="30">
        <f>SUM(AK173:AK195)</f>
        <v>0</v>
      </c>
      <c r="AU172" s="30">
        <f>SUM(AL173:AL195)</f>
        <v>0</v>
      </c>
    </row>
    <row r="173" spans="1:75" ht="13.5" customHeight="1">
      <c r="A173" s="21" t="s">
        <v>432</v>
      </c>
      <c r="B173" s="3" t="s">
        <v>433</v>
      </c>
      <c r="C173" s="229" t="s">
        <v>434</v>
      </c>
      <c r="D173" s="229"/>
      <c r="E173" s="3" t="s">
        <v>215</v>
      </c>
      <c r="F173" s="22">
        <v>46.011</v>
      </c>
      <c r="G173" s="22">
        <v>0</v>
      </c>
      <c r="H173" s="22">
        <f>F173*AO173</f>
        <v>0</v>
      </c>
      <c r="I173" s="22">
        <f>F173*AP173</f>
        <v>0</v>
      </c>
      <c r="J173" s="22">
        <f>F173*G173</f>
        <v>0</v>
      </c>
      <c r="K173" s="46" t="s">
        <v>167</v>
      </c>
      <c r="Z173" s="22">
        <f>IF(AQ173="5",BJ173,0)</f>
        <v>0</v>
      </c>
      <c r="AB173" s="22">
        <f>IF(AQ173="1",BH173,0)</f>
        <v>0</v>
      </c>
      <c r="AC173" s="22">
        <f>IF(AQ173="1",BI173,0)</f>
        <v>0</v>
      </c>
      <c r="AD173" s="22">
        <f>IF(AQ173="7",BH173,0)</f>
        <v>0</v>
      </c>
      <c r="AE173" s="22">
        <f>IF(AQ173="7",BI173,0)</f>
        <v>0</v>
      </c>
      <c r="AF173" s="22">
        <f>IF(AQ173="2",BH173,0)</f>
        <v>0</v>
      </c>
      <c r="AG173" s="22">
        <f>IF(AQ173="2",BI173,0)</f>
        <v>0</v>
      </c>
      <c r="AH173" s="22">
        <f>IF(AQ173="0",BJ173,0)</f>
        <v>0</v>
      </c>
      <c r="AI173" s="34"/>
      <c r="AJ173" s="22">
        <f>IF(AN173=0,J173,0)</f>
        <v>0</v>
      </c>
      <c r="AK173" s="22">
        <f>IF(AN173=15,J173,0)</f>
        <v>0</v>
      </c>
      <c r="AL173" s="22">
        <f>IF(AN173=21,J173,0)</f>
        <v>0</v>
      </c>
      <c r="AN173" s="22">
        <v>21</v>
      </c>
      <c r="AO173" s="22">
        <f>G173*0</f>
        <v>0</v>
      </c>
      <c r="AP173" s="22">
        <f>G173*(1-0)</f>
        <v>0</v>
      </c>
      <c r="AQ173" s="23" t="s">
        <v>212</v>
      </c>
      <c r="AV173" s="22">
        <f>AW173+AX173</f>
        <v>0</v>
      </c>
      <c r="AW173" s="22">
        <f>F173*AO173</f>
        <v>0</v>
      </c>
      <c r="AX173" s="22">
        <f>F173*AP173</f>
        <v>0</v>
      </c>
      <c r="AY173" s="23" t="s">
        <v>435</v>
      </c>
      <c r="AZ173" s="23" t="s">
        <v>436</v>
      </c>
      <c r="BA173" s="34" t="s">
        <v>170</v>
      </c>
      <c r="BC173" s="22">
        <f>AW173+AX173</f>
        <v>0</v>
      </c>
      <c r="BD173" s="22">
        <f>G173/(100-BE173)*100</f>
        <v>0</v>
      </c>
      <c r="BE173" s="22">
        <v>0</v>
      </c>
      <c r="BF173" s="22">
        <f>173</f>
        <v>173</v>
      </c>
      <c r="BH173" s="22">
        <f>F173*AO173</f>
        <v>0</v>
      </c>
      <c r="BI173" s="22">
        <f>F173*AP173</f>
        <v>0</v>
      </c>
      <c r="BJ173" s="22">
        <f>F173*G173</f>
        <v>0</v>
      </c>
      <c r="BK173" s="22"/>
      <c r="BL173" s="22">
        <v>771</v>
      </c>
      <c r="BW173" s="22">
        <v>21</v>
      </c>
    </row>
    <row r="174" spans="1:11" ht="15" customHeight="1">
      <c r="A174" s="47"/>
      <c r="C174" s="48" t="s">
        <v>307</v>
      </c>
      <c r="D174" s="48" t="s">
        <v>317</v>
      </c>
      <c r="F174" s="49">
        <v>13.725000000000001</v>
      </c>
      <c r="K174" s="50"/>
    </row>
    <row r="175" spans="1:11" ht="15" customHeight="1">
      <c r="A175" s="47"/>
      <c r="C175" s="48" t="s">
        <v>437</v>
      </c>
      <c r="D175" s="48" t="s">
        <v>319</v>
      </c>
      <c r="F175" s="49">
        <v>28.200000000000003</v>
      </c>
      <c r="K175" s="50"/>
    </row>
    <row r="176" spans="1:11" ht="15" customHeight="1">
      <c r="A176" s="47"/>
      <c r="C176" s="48" t="s">
        <v>438</v>
      </c>
      <c r="D176" s="48" t="s">
        <v>439</v>
      </c>
      <c r="F176" s="49">
        <v>4.086</v>
      </c>
      <c r="K176" s="50"/>
    </row>
    <row r="177" spans="1:11" ht="27" customHeight="1">
      <c r="A177" s="47"/>
      <c r="B177" s="51" t="s">
        <v>175</v>
      </c>
      <c r="C177" s="268" t="s">
        <v>440</v>
      </c>
      <c r="D177" s="268"/>
      <c r="E177" s="268"/>
      <c r="F177" s="268"/>
      <c r="G177" s="268"/>
      <c r="H177" s="268"/>
      <c r="I177" s="268"/>
      <c r="J177" s="268"/>
      <c r="K177" s="268"/>
    </row>
    <row r="178" spans="1:75" ht="13.5" customHeight="1">
      <c r="A178" s="21" t="s">
        <v>441</v>
      </c>
      <c r="B178" s="3" t="s">
        <v>442</v>
      </c>
      <c r="C178" s="229" t="s">
        <v>443</v>
      </c>
      <c r="D178" s="229"/>
      <c r="E178" s="3" t="s">
        <v>243</v>
      </c>
      <c r="F178" s="22">
        <v>47.26</v>
      </c>
      <c r="G178" s="22">
        <v>0</v>
      </c>
      <c r="H178" s="22">
        <f>F178*AO178</f>
        <v>0</v>
      </c>
      <c r="I178" s="22">
        <f>F178*AP178</f>
        <v>0</v>
      </c>
      <c r="J178" s="22">
        <f>F178*G178</f>
        <v>0</v>
      </c>
      <c r="K178" s="46" t="s">
        <v>167</v>
      </c>
      <c r="Z178" s="22">
        <f>IF(AQ178="5",BJ178,0)</f>
        <v>0</v>
      </c>
      <c r="AB178" s="22">
        <f>IF(AQ178="1",BH178,0)</f>
        <v>0</v>
      </c>
      <c r="AC178" s="22">
        <f>IF(AQ178="1",BI178,0)</f>
        <v>0</v>
      </c>
      <c r="AD178" s="22">
        <f>IF(AQ178="7",BH178,0)</f>
        <v>0</v>
      </c>
      <c r="AE178" s="22">
        <f>IF(AQ178="7",BI178,0)</f>
        <v>0</v>
      </c>
      <c r="AF178" s="22">
        <f>IF(AQ178="2",BH178,0)</f>
        <v>0</v>
      </c>
      <c r="AG178" s="22">
        <f>IF(AQ178="2",BI178,0)</f>
        <v>0</v>
      </c>
      <c r="AH178" s="22">
        <f>IF(AQ178="0",BJ178,0)</f>
        <v>0</v>
      </c>
      <c r="AI178" s="34"/>
      <c r="AJ178" s="22">
        <f>IF(AN178=0,J178,0)</f>
        <v>0</v>
      </c>
      <c r="AK178" s="22">
        <f>IF(AN178=15,J178,0)</f>
        <v>0</v>
      </c>
      <c r="AL178" s="22">
        <f>IF(AN178=21,J178,0)</f>
        <v>0</v>
      </c>
      <c r="AN178" s="22">
        <v>21</v>
      </c>
      <c r="AO178" s="22">
        <f>G178*0</f>
        <v>0</v>
      </c>
      <c r="AP178" s="22">
        <f>G178*(1-0)</f>
        <v>0</v>
      </c>
      <c r="AQ178" s="23" t="s">
        <v>212</v>
      </c>
      <c r="AV178" s="22">
        <f>AW178+AX178</f>
        <v>0</v>
      </c>
      <c r="AW178" s="22">
        <f>F178*AO178</f>
        <v>0</v>
      </c>
      <c r="AX178" s="22">
        <f>F178*AP178</f>
        <v>0</v>
      </c>
      <c r="AY178" s="23" t="s">
        <v>435</v>
      </c>
      <c r="AZ178" s="23" t="s">
        <v>436</v>
      </c>
      <c r="BA178" s="34" t="s">
        <v>170</v>
      </c>
      <c r="BC178" s="22">
        <f>AW178+AX178</f>
        <v>0</v>
      </c>
      <c r="BD178" s="22">
        <f>G178/(100-BE178)*100</f>
        <v>0</v>
      </c>
      <c r="BE178" s="22">
        <v>0</v>
      </c>
      <c r="BF178" s="22">
        <f>178</f>
        <v>178</v>
      </c>
      <c r="BH178" s="22">
        <f>F178*AO178</f>
        <v>0</v>
      </c>
      <c r="BI178" s="22">
        <f>F178*AP178</f>
        <v>0</v>
      </c>
      <c r="BJ178" s="22">
        <f>F178*G178</f>
        <v>0</v>
      </c>
      <c r="BK178" s="22"/>
      <c r="BL178" s="22">
        <v>771</v>
      </c>
      <c r="BW178" s="22">
        <v>21</v>
      </c>
    </row>
    <row r="179" spans="1:11" ht="15" customHeight="1">
      <c r="A179" s="47"/>
      <c r="C179" s="48" t="s">
        <v>444</v>
      </c>
      <c r="D179" s="48"/>
      <c r="F179" s="49">
        <v>14.820000000000002</v>
      </c>
      <c r="K179" s="50"/>
    </row>
    <row r="180" spans="1:11" ht="15" customHeight="1">
      <c r="A180" s="47"/>
      <c r="C180" s="48" t="s">
        <v>445</v>
      </c>
      <c r="D180" s="48"/>
      <c r="F180" s="49">
        <v>32.440000000000005</v>
      </c>
      <c r="K180" s="50"/>
    </row>
    <row r="181" spans="1:11" ht="27" customHeight="1">
      <c r="A181" s="47"/>
      <c r="B181" s="51" t="s">
        <v>175</v>
      </c>
      <c r="C181" s="268" t="s">
        <v>446</v>
      </c>
      <c r="D181" s="268"/>
      <c r="E181" s="268"/>
      <c r="F181" s="268"/>
      <c r="G181" s="268"/>
      <c r="H181" s="268"/>
      <c r="I181" s="268"/>
      <c r="J181" s="268"/>
      <c r="K181" s="268"/>
    </row>
    <row r="182" spans="1:75" ht="13.5" customHeight="1">
      <c r="A182" s="21" t="s">
        <v>447</v>
      </c>
      <c r="B182" s="3" t="s">
        <v>448</v>
      </c>
      <c r="C182" s="229" t="s">
        <v>449</v>
      </c>
      <c r="D182" s="229"/>
      <c r="E182" s="3" t="s">
        <v>215</v>
      </c>
      <c r="F182" s="22">
        <v>51.5</v>
      </c>
      <c r="G182" s="22">
        <v>0</v>
      </c>
      <c r="H182" s="22">
        <f>F182*AO182</f>
        <v>0</v>
      </c>
      <c r="I182" s="22">
        <f>F182*AP182</f>
        <v>0</v>
      </c>
      <c r="J182" s="22">
        <f>F182*G182</f>
        <v>0</v>
      </c>
      <c r="K182" s="46" t="s">
        <v>167</v>
      </c>
      <c r="Z182" s="22">
        <f>IF(AQ182="5",BJ182,0)</f>
        <v>0</v>
      </c>
      <c r="AB182" s="22">
        <f>IF(AQ182="1",BH182,0)</f>
        <v>0</v>
      </c>
      <c r="AC182" s="22">
        <f>IF(AQ182="1",BI182,0)</f>
        <v>0</v>
      </c>
      <c r="AD182" s="22">
        <f>IF(AQ182="7",BH182,0)</f>
        <v>0</v>
      </c>
      <c r="AE182" s="22">
        <f>IF(AQ182="7",BI182,0)</f>
        <v>0</v>
      </c>
      <c r="AF182" s="22">
        <f>IF(AQ182="2",BH182,0)</f>
        <v>0</v>
      </c>
      <c r="AG182" s="22">
        <f>IF(AQ182="2",BI182,0)</f>
        <v>0</v>
      </c>
      <c r="AH182" s="22">
        <f>IF(AQ182="0",BJ182,0)</f>
        <v>0</v>
      </c>
      <c r="AI182" s="34"/>
      <c r="AJ182" s="22">
        <f>IF(AN182=0,J182,0)</f>
        <v>0</v>
      </c>
      <c r="AK182" s="22">
        <f>IF(AN182=15,J182,0)</f>
        <v>0</v>
      </c>
      <c r="AL182" s="22">
        <f>IF(AN182=21,J182,0)</f>
        <v>0</v>
      </c>
      <c r="AN182" s="22">
        <v>21</v>
      </c>
      <c r="AO182" s="22">
        <f>G182*0</f>
        <v>0</v>
      </c>
      <c r="AP182" s="22">
        <f>G182*(1-0)</f>
        <v>0</v>
      </c>
      <c r="AQ182" s="23" t="s">
        <v>212</v>
      </c>
      <c r="AV182" s="22">
        <f>AW182+AX182</f>
        <v>0</v>
      </c>
      <c r="AW182" s="22">
        <f>F182*AO182</f>
        <v>0</v>
      </c>
      <c r="AX182" s="22">
        <f>F182*AP182</f>
        <v>0</v>
      </c>
      <c r="AY182" s="23" t="s">
        <v>435</v>
      </c>
      <c r="AZ182" s="23" t="s">
        <v>436</v>
      </c>
      <c r="BA182" s="34" t="s">
        <v>170</v>
      </c>
      <c r="BC182" s="22">
        <f>AW182+AX182</f>
        <v>0</v>
      </c>
      <c r="BD182" s="22">
        <f>G182/(100-BE182)*100</f>
        <v>0</v>
      </c>
      <c r="BE182" s="22">
        <v>0</v>
      </c>
      <c r="BF182" s="22">
        <f>182</f>
        <v>182</v>
      </c>
      <c r="BH182" s="22">
        <f>F182*AO182</f>
        <v>0</v>
      </c>
      <c r="BI182" s="22">
        <f>F182*AP182</f>
        <v>0</v>
      </c>
      <c r="BJ182" s="22">
        <f>F182*G182</f>
        <v>0</v>
      </c>
      <c r="BK182" s="22"/>
      <c r="BL182" s="22">
        <v>771</v>
      </c>
      <c r="BW182" s="22">
        <v>21</v>
      </c>
    </row>
    <row r="183" spans="1:11" ht="15" customHeight="1">
      <c r="A183" s="47"/>
      <c r="C183" s="48" t="s">
        <v>450</v>
      </c>
      <c r="D183" s="48"/>
      <c r="F183" s="49">
        <v>51.50000000000001</v>
      </c>
      <c r="K183" s="50"/>
    </row>
    <row r="184" spans="1:11" ht="40.5" customHeight="1">
      <c r="A184" s="47"/>
      <c r="B184" s="51" t="s">
        <v>175</v>
      </c>
      <c r="C184" s="268" t="s">
        <v>451</v>
      </c>
      <c r="D184" s="268"/>
      <c r="E184" s="268"/>
      <c r="F184" s="268"/>
      <c r="G184" s="268"/>
      <c r="H184" s="268"/>
      <c r="I184" s="268"/>
      <c r="J184" s="268"/>
      <c r="K184" s="268"/>
    </row>
    <row r="185" spans="1:75" ht="13.5" customHeight="1">
      <c r="A185" s="21" t="s">
        <v>452</v>
      </c>
      <c r="B185" s="3" t="s">
        <v>453</v>
      </c>
      <c r="C185" s="229" t="s">
        <v>454</v>
      </c>
      <c r="D185" s="229"/>
      <c r="E185" s="3" t="s">
        <v>215</v>
      </c>
      <c r="F185" s="22">
        <v>54.59</v>
      </c>
      <c r="G185" s="22">
        <v>0</v>
      </c>
      <c r="H185" s="22">
        <f>F185*AO185</f>
        <v>0</v>
      </c>
      <c r="I185" s="22">
        <f>F185*AP185</f>
        <v>0</v>
      </c>
      <c r="J185" s="22">
        <f>F185*G185</f>
        <v>0</v>
      </c>
      <c r="K185" s="46" t="s">
        <v>167</v>
      </c>
      <c r="Z185" s="22">
        <f>IF(AQ185="5",BJ185,0)</f>
        <v>0</v>
      </c>
      <c r="AB185" s="22">
        <f>IF(AQ185="1",BH185,0)</f>
        <v>0</v>
      </c>
      <c r="AC185" s="22">
        <f>IF(AQ185="1",BI185,0)</f>
        <v>0</v>
      </c>
      <c r="AD185" s="22">
        <f>IF(AQ185="7",BH185,0)</f>
        <v>0</v>
      </c>
      <c r="AE185" s="22">
        <f>IF(AQ185="7",BI185,0)</f>
        <v>0</v>
      </c>
      <c r="AF185" s="22">
        <f>IF(AQ185="2",BH185,0)</f>
        <v>0</v>
      </c>
      <c r="AG185" s="22">
        <f>IF(AQ185="2",BI185,0)</f>
        <v>0</v>
      </c>
      <c r="AH185" s="22">
        <f>IF(AQ185="0",BJ185,0)</f>
        <v>0</v>
      </c>
      <c r="AI185" s="34"/>
      <c r="AJ185" s="22">
        <f>IF(AN185=0,J185,0)</f>
        <v>0</v>
      </c>
      <c r="AK185" s="22">
        <f>IF(AN185=15,J185,0)</f>
        <v>0</v>
      </c>
      <c r="AL185" s="22">
        <f>IF(AN185=21,J185,0)</f>
        <v>0</v>
      </c>
      <c r="AN185" s="22">
        <v>21</v>
      </c>
      <c r="AO185" s="22">
        <f>G185*1</f>
        <v>0</v>
      </c>
      <c r="AP185" s="22">
        <f>G185*(1-1)</f>
        <v>0</v>
      </c>
      <c r="AQ185" s="23" t="s">
        <v>212</v>
      </c>
      <c r="AV185" s="22">
        <f>AW185+AX185</f>
        <v>0</v>
      </c>
      <c r="AW185" s="22">
        <f>F185*AO185</f>
        <v>0</v>
      </c>
      <c r="AX185" s="22">
        <f>F185*AP185</f>
        <v>0</v>
      </c>
      <c r="AY185" s="23" t="s">
        <v>435</v>
      </c>
      <c r="AZ185" s="23" t="s">
        <v>436</v>
      </c>
      <c r="BA185" s="34" t="s">
        <v>170</v>
      </c>
      <c r="BC185" s="22">
        <f>AW185+AX185</f>
        <v>0</v>
      </c>
      <c r="BD185" s="22">
        <f>G185/(100-BE185)*100</f>
        <v>0</v>
      </c>
      <c r="BE185" s="22">
        <v>0</v>
      </c>
      <c r="BF185" s="22">
        <f>185</f>
        <v>185</v>
      </c>
      <c r="BH185" s="22">
        <f>F185*AO185</f>
        <v>0</v>
      </c>
      <c r="BI185" s="22">
        <f>F185*AP185</f>
        <v>0</v>
      </c>
      <c r="BJ185" s="22">
        <f>F185*G185</f>
        <v>0</v>
      </c>
      <c r="BK185" s="22"/>
      <c r="BL185" s="22">
        <v>771</v>
      </c>
      <c r="BW185" s="22">
        <v>21</v>
      </c>
    </row>
    <row r="186" spans="1:11" ht="15" customHeight="1">
      <c r="A186" s="47"/>
      <c r="C186" s="48" t="s">
        <v>455</v>
      </c>
      <c r="D186" s="48"/>
      <c r="F186" s="49">
        <v>51.50000000000001</v>
      </c>
      <c r="K186" s="50"/>
    </row>
    <row r="187" spans="1:11" ht="15" customHeight="1">
      <c r="A187" s="47"/>
      <c r="C187" s="48" t="s">
        <v>456</v>
      </c>
      <c r="D187" s="48"/>
      <c r="F187" s="49">
        <v>3.0900000000000003</v>
      </c>
      <c r="K187" s="50"/>
    </row>
    <row r="188" spans="1:11" ht="27" customHeight="1">
      <c r="A188" s="47"/>
      <c r="B188" s="51" t="s">
        <v>175</v>
      </c>
      <c r="C188" s="268" t="s">
        <v>457</v>
      </c>
      <c r="D188" s="268"/>
      <c r="E188" s="268"/>
      <c r="F188" s="268"/>
      <c r="G188" s="268"/>
      <c r="H188" s="268"/>
      <c r="I188" s="268"/>
      <c r="J188" s="268"/>
      <c r="K188" s="268"/>
    </row>
    <row r="189" spans="1:75" ht="13.5" customHeight="1">
      <c r="A189" s="21" t="s">
        <v>458</v>
      </c>
      <c r="B189" s="3" t="s">
        <v>459</v>
      </c>
      <c r="C189" s="229" t="s">
        <v>460</v>
      </c>
      <c r="D189" s="229"/>
      <c r="E189" s="3" t="s">
        <v>215</v>
      </c>
      <c r="F189" s="22">
        <v>51.5</v>
      </c>
      <c r="G189" s="22">
        <v>0</v>
      </c>
      <c r="H189" s="22">
        <f>F189*AO189</f>
        <v>0</v>
      </c>
      <c r="I189" s="22">
        <f>F189*AP189</f>
        <v>0</v>
      </c>
      <c r="J189" s="22">
        <f>F189*G189</f>
        <v>0</v>
      </c>
      <c r="K189" s="46" t="s">
        <v>167</v>
      </c>
      <c r="Z189" s="22">
        <f>IF(AQ189="5",BJ189,0)</f>
        <v>0</v>
      </c>
      <c r="AB189" s="22">
        <f>IF(AQ189="1",BH189,0)</f>
        <v>0</v>
      </c>
      <c r="AC189" s="22">
        <f>IF(AQ189="1",BI189,0)</f>
        <v>0</v>
      </c>
      <c r="AD189" s="22">
        <f>IF(AQ189="7",BH189,0)</f>
        <v>0</v>
      </c>
      <c r="AE189" s="22">
        <f>IF(AQ189="7",BI189,0)</f>
        <v>0</v>
      </c>
      <c r="AF189" s="22">
        <f>IF(AQ189="2",BH189,0)</f>
        <v>0</v>
      </c>
      <c r="AG189" s="22">
        <f>IF(AQ189="2",BI189,0)</f>
        <v>0</v>
      </c>
      <c r="AH189" s="22">
        <f>IF(AQ189="0",BJ189,0)</f>
        <v>0</v>
      </c>
      <c r="AI189" s="34"/>
      <c r="AJ189" s="22">
        <f>IF(AN189=0,J189,0)</f>
        <v>0</v>
      </c>
      <c r="AK189" s="22">
        <f>IF(AN189=15,J189,0)</f>
        <v>0</v>
      </c>
      <c r="AL189" s="22">
        <f>IF(AN189=21,J189,0)</f>
        <v>0</v>
      </c>
      <c r="AN189" s="22">
        <v>21</v>
      </c>
      <c r="AO189" s="22">
        <f>G189*0.477365491651206</f>
        <v>0</v>
      </c>
      <c r="AP189" s="22">
        <f>G189*(1-0.477365491651206)</f>
        <v>0</v>
      </c>
      <c r="AQ189" s="23" t="s">
        <v>212</v>
      </c>
      <c r="AV189" s="22">
        <f>AW189+AX189</f>
        <v>0</v>
      </c>
      <c r="AW189" s="22">
        <f>F189*AO189</f>
        <v>0</v>
      </c>
      <c r="AX189" s="22">
        <f>F189*AP189</f>
        <v>0</v>
      </c>
      <c r="AY189" s="23" t="s">
        <v>435</v>
      </c>
      <c r="AZ189" s="23" t="s">
        <v>436</v>
      </c>
      <c r="BA189" s="34" t="s">
        <v>170</v>
      </c>
      <c r="BC189" s="22">
        <f>AW189+AX189</f>
        <v>0</v>
      </c>
      <c r="BD189" s="22">
        <f>G189/(100-BE189)*100</f>
        <v>0</v>
      </c>
      <c r="BE189" s="22">
        <v>0</v>
      </c>
      <c r="BF189" s="22">
        <f>189</f>
        <v>189</v>
      </c>
      <c r="BH189" s="22">
        <f>F189*AO189</f>
        <v>0</v>
      </c>
      <c r="BI189" s="22">
        <f>F189*AP189</f>
        <v>0</v>
      </c>
      <c r="BJ189" s="22">
        <f>F189*G189</f>
        <v>0</v>
      </c>
      <c r="BK189" s="22"/>
      <c r="BL189" s="22">
        <v>771</v>
      </c>
      <c r="BW189" s="22">
        <v>21</v>
      </c>
    </row>
    <row r="190" spans="1:11" ht="15" customHeight="1">
      <c r="A190" s="47"/>
      <c r="C190" s="48" t="s">
        <v>455</v>
      </c>
      <c r="D190" s="48"/>
      <c r="F190" s="49">
        <v>51.50000000000001</v>
      </c>
      <c r="K190" s="50"/>
    </row>
    <row r="191" spans="1:11" ht="13.5" customHeight="1">
      <c r="A191" s="47"/>
      <c r="B191" s="51" t="s">
        <v>175</v>
      </c>
      <c r="C191" s="268" t="s">
        <v>461</v>
      </c>
      <c r="D191" s="268"/>
      <c r="E191" s="268"/>
      <c r="F191" s="268"/>
      <c r="G191" s="268"/>
      <c r="H191" s="268"/>
      <c r="I191" s="268"/>
      <c r="J191" s="268"/>
      <c r="K191" s="268"/>
    </row>
    <row r="192" spans="1:75" ht="13.5" customHeight="1">
      <c r="A192" s="21" t="s">
        <v>462</v>
      </c>
      <c r="B192" s="3" t="s">
        <v>463</v>
      </c>
      <c r="C192" s="229" t="s">
        <v>464</v>
      </c>
      <c r="D192" s="229"/>
      <c r="E192" s="3" t="s">
        <v>215</v>
      </c>
      <c r="F192" s="22">
        <v>51.5</v>
      </c>
      <c r="G192" s="22">
        <v>0</v>
      </c>
      <c r="H192" s="22">
        <f>F192*AO192</f>
        <v>0</v>
      </c>
      <c r="I192" s="22">
        <f>F192*AP192</f>
        <v>0</v>
      </c>
      <c r="J192" s="22">
        <f>F192*G192</f>
        <v>0</v>
      </c>
      <c r="K192" s="46" t="s">
        <v>167</v>
      </c>
      <c r="Z192" s="22">
        <f>IF(AQ192="5",BJ192,0)</f>
        <v>0</v>
      </c>
      <c r="AB192" s="22">
        <f>IF(AQ192="1",BH192,0)</f>
        <v>0</v>
      </c>
      <c r="AC192" s="22">
        <f>IF(AQ192="1",BI192,0)</f>
        <v>0</v>
      </c>
      <c r="AD192" s="22">
        <f>IF(AQ192="7",BH192,0)</f>
        <v>0</v>
      </c>
      <c r="AE192" s="22">
        <f>IF(AQ192="7",BI192,0)</f>
        <v>0</v>
      </c>
      <c r="AF192" s="22">
        <f>IF(AQ192="2",BH192,0)</f>
        <v>0</v>
      </c>
      <c r="AG192" s="22">
        <f>IF(AQ192="2",BI192,0)</f>
        <v>0</v>
      </c>
      <c r="AH192" s="22">
        <f>IF(AQ192="0",BJ192,0)</f>
        <v>0</v>
      </c>
      <c r="AI192" s="34"/>
      <c r="AJ192" s="22">
        <f>IF(AN192=0,J192,0)</f>
        <v>0</v>
      </c>
      <c r="AK192" s="22">
        <f>IF(AN192=15,J192,0)</f>
        <v>0</v>
      </c>
      <c r="AL192" s="22">
        <f>IF(AN192=21,J192,0)</f>
        <v>0</v>
      </c>
      <c r="AN192" s="22">
        <v>21</v>
      </c>
      <c r="AO192" s="22">
        <f>G192*0.572692793931732</f>
        <v>0</v>
      </c>
      <c r="AP192" s="22">
        <f>G192*(1-0.572692793931732)</f>
        <v>0</v>
      </c>
      <c r="AQ192" s="23" t="s">
        <v>212</v>
      </c>
      <c r="AV192" s="22">
        <f>AW192+AX192</f>
        <v>0</v>
      </c>
      <c r="AW192" s="22">
        <f>F192*AO192</f>
        <v>0</v>
      </c>
      <c r="AX192" s="22">
        <f>F192*AP192</f>
        <v>0</v>
      </c>
      <c r="AY192" s="23" t="s">
        <v>435</v>
      </c>
      <c r="AZ192" s="23" t="s">
        <v>436</v>
      </c>
      <c r="BA192" s="34" t="s">
        <v>170</v>
      </c>
      <c r="BC192" s="22">
        <f>AW192+AX192</f>
        <v>0</v>
      </c>
      <c r="BD192" s="22">
        <f>G192/(100-BE192)*100</f>
        <v>0</v>
      </c>
      <c r="BE192" s="22">
        <v>0</v>
      </c>
      <c r="BF192" s="22">
        <f>192</f>
        <v>192</v>
      </c>
      <c r="BH192" s="22">
        <f>F192*AO192</f>
        <v>0</v>
      </c>
      <c r="BI192" s="22">
        <f>F192*AP192</f>
        <v>0</v>
      </c>
      <c r="BJ192" s="22">
        <f>F192*G192</f>
        <v>0</v>
      </c>
      <c r="BK192" s="22"/>
      <c r="BL192" s="22">
        <v>771</v>
      </c>
      <c r="BW192" s="22">
        <v>21</v>
      </c>
    </row>
    <row r="193" spans="1:11" ht="15" customHeight="1">
      <c r="A193" s="47"/>
      <c r="C193" s="48" t="s">
        <v>465</v>
      </c>
      <c r="D193" s="48"/>
      <c r="F193" s="49">
        <v>51.50000000000001</v>
      </c>
      <c r="K193" s="50"/>
    </row>
    <row r="194" spans="1:11" ht="13.5" customHeight="1">
      <c r="A194" s="47"/>
      <c r="B194" s="51" t="s">
        <v>175</v>
      </c>
      <c r="C194" s="268" t="s">
        <v>466</v>
      </c>
      <c r="D194" s="268"/>
      <c r="E194" s="268"/>
      <c r="F194" s="268"/>
      <c r="G194" s="268"/>
      <c r="H194" s="268"/>
      <c r="I194" s="268"/>
      <c r="J194" s="268"/>
      <c r="K194" s="268"/>
    </row>
    <row r="195" spans="1:75" ht="13.5" customHeight="1">
      <c r="A195" s="21" t="s">
        <v>467</v>
      </c>
      <c r="B195" s="3" t="s">
        <v>468</v>
      </c>
      <c r="C195" s="229" t="s">
        <v>469</v>
      </c>
      <c r="D195" s="229"/>
      <c r="E195" s="3" t="s">
        <v>323</v>
      </c>
      <c r="F195" s="22">
        <v>1.063</v>
      </c>
      <c r="G195" s="22">
        <v>0</v>
      </c>
      <c r="H195" s="22">
        <f>F195*AO195</f>
        <v>0</v>
      </c>
      <c r="I195" s="22">
        <f>F195*AP195</f>
        <v>0</v>
      </c>
      <c r="J195" s="22">
        <f>F195*G195</f>
        <v>0</v>
      </c>
      <c r="K195" s="46" t="s">
        <v>167</v>
      </c>
      <c r="Z195" s="22">
        <f>IF(AQ195="5",BJ195,0)</f>
        <v>0</v>
      </c>
      <c r="AB195" s="22">
        <f>IF(AQ195="1",BH195,0)</f>
        <v>0</v>
      </c>
      <c r="AC195" s="22">
        <f>IF(AQ195="1",BI195,0)</f>
        <v>0</v>
      </c>
      <c r="AD195" s="22">
        <f>IF(AQ195="7",BH195,0)</f>
        <v>0</v>
      </c>
      <c r="AE195" s="22">
        <f>IF(AQ195="7",BI195,0)</f>
        <v>0</v>
      </c>
      <c r="AF195" s="22">
        <f>IF(AQ195="2",BH195,0)</f>
        <v>0</v>
      </c>
      <c r="AG195" s="22">
        <f>IF(AQ195="2",BI195,0)</f>
        <v>0</v>
      </c>
      <c r="AH195" s="22">
        <f>IF(AQ195="0",BJ195,0)</f>
        <v>0</v>
      </c>
      <c r="AI195" s="34"/>
      <c r="AJ195" s="22">
        <f>IF(AN195=0,J195,0)</f>
        <v>0</v>
      </c>
      <c r="AK195" s="22">
        <f>IF(AN195=15,J195,0)</f>
        <v>0</v>
      </c>
      <c r="AL195" s="22">
        <f>IF(AN195=21,J195,0)</f>
        <v>0</v>
      </c>
      <c r="AN195" s="22">
        <v>21</v>
      </c>
      <c r="AO195" s="22">
        <f>G195*0</f>
        <v>0</v>
      </c>
      <c r="AP195" s="22">
        <f>G195*(1-0)</f>
        <v>0</v>
      </c>
      <c r="AQ195" s="23" t="s">
        <v>194</v>
      </c>
      <c r="AV195" s="22">
        <f>AW195+AX195</f>
        <v>0</v>
      </c>
      <c r="AW195" s="22">
        <f>F195*AO195</f>
        <v>0</v>
      </c>
      <c r="AX195" s="22">
        <f>F195*AP195</f>
        <v>0</v>
      </c>
      <c r="AY195" s="23" t="s">
        <v>435</v>
      </c>
      <c r="AZ195" s="23" t="s">
        <v>436</v>
      </c>
      <c r="BA195" s="34" t="s">
        <v>170</v>
      </c>
      <c r="BC195" s="22">
        <f>AW195+AX195</f>
        <v>0</v>
      </c>
      <c r="BD195" s="22">
        <f>G195/(100-BE195)*100</f>
        <v>0</v>
      </c>
      <c r="BE195" s="22">
        <v>0</v>
      </c>
      <c r="BF195" s="22">
        <f>195</f>
        <v>195</v>
      </c>
      <c r="BH195" s="22">
        <f>F195*AO195</f>
        <v>0</v>
      </c>
      <c r="BI195" s="22">
        <f>F195*AP195</f>
        <v>0</v>
      </c>
      <c r="BJ195" s="22">
        <f>F195*G195</f>
        <v>0</v>
      </c>
      <c r="BK195" s="22"/>
      <c r="BL195" s="22">
        <v>771</v>
      </c>
      <c r="BW195" s="22">
        <v>21</v>
      </c>
    </row>
    <row r="196" spans="1:11" ht="15" customHeight="1">
      <c r="A196" s="47"/>
      <c r="C196" s="48" t="s">
        <v>470</v>
      </c>
      <c r="D196" s="48"/>
      <c r="F196" s="49">
        <v>1.0630000000000002</v>
      </c>
      <c r="K196" s="50"/>
    </row>
    <row r="197" spans="1:47" ht="15" customHeight="1">
      <c r="A197" s="42"/>
      <c r="B197" s="43" t="s">
        <v>101</v>
      </c>
      <c r="C197" s="267" t="s">
        <v>102</v>
      </c>
      <c r="D197" s="267"/>
      <c r="E197" s="44" t="s">
        <v>58</v>
      </c>
      <c r="F197" s="44" t="s">
        <v>58</v>
      </c>
      <c r="G197" s="44" t="s">
        <v>58</v>
      </c>
      <c r="H197" s="30">
        <f>SUM(H198:H198)</f>
        <v>0</v>
      </c>
      <c r="I197" s="30">
        <f>SUM(I198:I198)</f>
        <v>0</v>
      </c>
      <c r="J197" s="30">
        <f>SUM(J198:J198)</f>
        <v>0</v>
      </c>
      <c r="K197" s="45"/>
      <c r="AI197" s="34"/>
      <c r="AS197" s="30">
        <f>SUM(AJ198:AJ198)</f>
        <v>0</v>
      </c>
      <c r="AT197" s="30">
        <f>SUM(AK198:AK198)</f>
        <v>0</v>
      </c>
      <c r="AU197" s="30">
        <f>SUM(AL198:AL198)</f>
        <v>0</v>
      </c>
    </row>
    <row r="198" spans="1:75" ht="13.5" customHeight="1">
      <c r="A198" s="21" t="s">
        <v>471</v>
      </c>
      <c r="B198" s="3" t="s">
        <v>472</v>
      </c>
      <c r="C198" s="229" t="s">
        <v>473</v>
      </c>
      <c r="D198" s="229"/>
      <c r="E198" s="3" t="s">
        <v>243</v>
      </c>
      <c r="F198" s="22">
        <v>0.75</v>
      </c>
      <c r="G198" s="22">
        <v>0</v>
      </c>
      <c r="H198" s="22">
        <f>F198*AO198</f>
        <v>0</v>
      </c>
      <c r="I198" s="22">
        <f>F198*AP198</f>
        <v>0</v>
      </c>
      <c r="J198" s="22">
        <f>F198*G198</f>
        <v>0</v>
      </c>
      <c r="K198" s="46" t="s">
        <v>167</v>
      </c>
      <c r="Z198" s="22">
        <f>IF(AQ198="5",BJ198,0)</f>
        <v>0</v>
      </c>
      <c r="AB198" s="22">
        <f>IF(AQ198="1",BH198,0)</f>
        <v>0</v>
      </c>
      <c r="AC198" s="22">
        <f>IF(AQ198="1",BI198,0)</f>
        <v>0</v>
      </c>
      <c r="AD198" s="22">
        <f>IF(AQ198="7",BH198,0)</f>
        <v>0</v>
      </c>
      <c r="AE198" s="22">
        <f>IF(AQ198="7",BI198,0)</f>
        <v>0</v>
      </c>
      <c r="AF198" s="22">
        <f>IF(AQ198="2",BH198,0)</f>
        <v>0</v>
      </c>
      <c r="AG198" s="22">
        <f>IF(AQ198="2",BI198,0)</f>
        <v>0</v>
      </c>
      <c r="AH198" s="22">
        <f>IF(AQ198="0",BJ198,0)</f>
        <v>0</v>
      </c>
      <c r="AI198" s="34"/>
      <c r="AJ198" s="22">
        <f>IF(AN198=0,J198,0)</f>
        <v>0</v>
      </c>
      <c r="AK198" s="22">
        <f>IF(AN198=15,J198,0)</f>
        <v>0</v>
      </c>
      <c r="AL198" s="22">
        <f>IF(AN198=21,J198,0)</f>
        <v>0</v>
      </c>
      <c r="AN198" s="22">
        <v>21</v>
      </c>
      <c r="AO198" s="22">
        <f>G198*0</f>
        <v>0</v>
      </c>
      <c r="AP198" s="22">
        <f>G198*(1-0)</f>
        <v>0</v>
      </c>
      <c r="AQ198" s="23" t="s">
        <v>212</v>
      </c>
      <c r="AV198" s="22">
        <f>AW198+AX198</f>
        <v>0</v>
      </c>
      <c r="AW198" s="22">
        <f>F198*AO198</f>
        <v>0</v>
      </c>
      <c r="AX198" s="22">
        <f>F198*AP198</f>
        <v>0</v>
      </c>
      <c r="AY198" s="23" t="s">
        <v>474</v>
      </c>
      <c r="AZ198" s="23" t="s">
        <v>475</v>
      </c>
      <c r="BA198" s="34" t="s">
        <v>170</v>
      </c>
      <c r="BC198" s="22">
        <f>AW198+AX198</f>
        <v>0</v>
      </c>
      <c r="BD198" s="22">
        <f>G198/(100-BE198)*100</f>
        <v>0</v>
      </c>
      <c r="BE198" s="22">
        <v>0</v>
      </c>
      <c r="BF198" s="22">
        <f>198</f>
        <v>198</v>
      </c>
      <c r="BH198" s="22">
        <f>F198*AO198</f>
        <v>0</v>
      </c>
      <c r="BI198" s="22">
        <f>F198*AP198</f>
        <v>0</v>
      </c>
      <c r="BJ198" s="22">
        <f>F198*G198</f>
        <v>0</v>
      </c>
      <c r="BK198" s="22"/>
      <c r="BL198" s="22">
        <v>781</v>
      </c>
      <c r="BW198" s="22">
        <v>21</v>
      </c>
    </row>
    <row r="199" spans="1:11" ht="15" customHeight="1">
      <c r="A199" s="47"/>
      <c r="C199" s="48" t="s">
        <v>402</v>
      </c>
      <c r="D199" s="48" t="s">
        <v>247</v>
      </c>
      <c r="F199" s="49">
        <v>0.7500000000000001</v>
      </c>
      <c r="K199" s="50"/>
    </row>
    <row r="200" spans="1:11" ht="54" customHeight="1">
      <c r="A200" s="47"/>
      <c r="B200" s="51" t="s">
        <v>175</v>
      </c>
      <c r="C200" s="268" t="s">
        <v>476</v>
      </c>
      <c r="D200" s="268"/>
      <c r="E200" s="268"/>
      <c r="F200" s="268"/>
      <c r="G200" s="268"/>
      <c r="H200" s="268"/>
      <c r="I200" s="268"/>
      <c r="J200" s="268"/>
      <c r="K200" s="268"/>
    </row>
    <row r="201" spans="1:47" ht="15" customHeight="1">
      <c r="A201" s="42"/>
      <c r="B201" s="43" t="s">
        <v>103</v>
      </c>
      <c r="C201" s="267" t="s">
        <v>104</v>
      </c>
      <c r="D201" s="267"/>
      <c r="E201" s="44" t="s">
        <v>58</v>
      </c>
      <c r="F201" s="44" t="s">
        <v>58</v>
      </c>
      <c r="G201" s="44" t="s">
        <v>58</v>
      </c>
      <c r="H201" s="30">
        <f>SUM(H202:H205)</f>
        <v>0</v>
      </c>
      <c r="I201" s="30">
        <f>SUM(I202:I205)</f>
        <v>0</v>
      </c>
      <c r="J201" s="30">
        <f>SUM(J202:J205)</f>
        <v>0</v>
      </c>
      <c r="K201" s="45"/>
      <c r="AI201" s="34"/>
      <c r="AS201" s="30">
        <f>SUM(AJ202:AJ205)</f>
        <v>0</v>
      </c>
      <c r="AT201" s="30">
        <f>SUM(AK202:AK205)</f>
        <v>0</v>
      </c>
      <c r="AU201" s="30">
        <f>SUM(AL202:AL205)</f>
        <v>0</v>
      </c>
    </row>
    <row r="202" spans="1:75" ht="13.5" customHeight="1">
      <c r="A202" s="21" t="s">
        <v>477</v>
      </c>
      <c r="B202" s="3" t="s">
        <v>478</v>
      </c>
      <c r="C202" s="229" t="s">
        <v>479</v>
      </c>
      <c r="D202" s="229"/>
      <c r="E202" s="3" t="s">
        <v>215</v>
      </c>
      <c r="F202" s="22">
        <v>239.08</v>
      </c>
      <c r="G202" s="22">
        <v>0</v>
      </c>
      <c r="H202" s="22">
        <f>F202*AO202</f>
        <v>0</v>
      </c>
      <c r="I202" s="22">
        <f>F202*AP202</f>
        <v>0</v>
      </c>
      <c r="J202" s="22">
        <f>F202*G202</f>
        <v>0</v>
      </c>
      <c r="K202" s="46" t="s">
        <v>167</v>
      </c>
      <c r="Z202" s="22">
        <f>IF(AQ202="5",BJ202,0)</f>
        <v>0</v>
      </c>
      <c r="AB202" s="22">
        <f>IF(AQ202="1",BH202,0)</f>
        <v>0</v>
      </c>
      <c r="AC202" s="22">
        <f>IF(AQ202="1",BI202,0)</f>
        <v>0</v>
      </c>
      <c r="AD202" s="22">
        <f>IF(AQ202="7",BH202,0)</f>
        <v>0</v>
      </c>
      <c r="AE202" s="22">
        <f>IF(AQ202="7",BI202,0)</f>
        <v>0</v>
      </c>
      <c r="AF202" s="22">
        <f>IF(AQ202="2",BH202,0)</f>
        <v>0</v>
      </c>
      <c r="AG202" s="22">
        <f>IF(AQ202="2",BI202,0)</f>
        <v>0</v>
      </c>
      <c r="AH202" s="22">
        <f>IF(AQ202="0",BJ202,0)</f>
        <v>0</v>
      </c>
      <c r="AI202" s="34"/>
      <c r="AJ202" s="22">
        <f>IF(AN202=0,J202,0)</f>
        <v>0</v>
      </c>
      <c r="AK202" s="22">
        <f>IF(AN202=15,J202,0)</f>
        <v>0</v>
      </c>
      <c r="AL202" s="22">
        <f>IF(AN202=21,J202,0)</f>
        <v>0</v>
      </c>
      <c r="AN202" s="22">
        <v>21</v>
      </c>
      <c r="AO202" s="22">
        <f>G202*0.701954493031443</f>
        <v>0</v>
      </c>
      <c r="AP202" s="22">
        <f>G202*(1-0.701954493031443)</f>
        <v>0</v>
      </c>
      <c r="AQ202" s="23" t="s">
        <v>212</v>
      </c>
      <c r="AV202" s="22">
        <f>AW202+AX202</f>
        <v>0</v>
      </c>
      <c r="AW202" s="22">
        <f>F202*AO202</f>
        <v>0</v>
      </c>
      <c r="AX202" s="22">
        <f>F202*AP202</f>
        <v>0</v>
      </c>
      <c r="AY202" s="23" t="s">
        <v>480</v>
      </c>
      <c r="AZ202" s="23" t="s">
        <v>475</v>
      </c>
      <c r="BA202" s="34" t="s">
        <v>170</v>
      </c>
      <c r="BC202" s="22">
        <f>AW202+AX202</f>
        <v>0</v>
      </c>
      <c r="BD202" s="22">
        <f>G202/(100-BE202)*100</f>
        <v>0</v>
      </c>
      <c r="BE202" s="22">
        <v>0</v>
      </c>
      <c r="BF202" s="22">
        <f>202</f>
        <v>202</v>
      </c>
      <c r="BH202" s="22">
        <f>F202*AO202</f>
        <v>0</v>
      </c>
      <c r="BI202" s="22">
        <f>F202*AP202</f>
        <v>0</v>
      </c>
      <c r="BJ202" s="22">
        <f>F202*G202</f>
        <v>0</v>
      </c>
      <c r="BK202" s="22"/>
      <c r="BL202" s="22">
        <v>784</v>
      </c>
      <c r="BW202" s="22">
        <v>21</v>
      </c>
    </row>
    <row r="203" spans="1:11" ht="15" customHeight="1">
      <c r="A203" s="47"/>
      <c r="C203" s="48" t="s">
        <v>481</v>
      </c>
      <c r="D203" s="48"/>
      <c r="F203" s="49">
        <v>239.08</v>
      </c>
      <c r="K203" s="50"/>
    </row>
    <row r="204" spans="1:11" ht="27" customHeight="1">
      <c r="A204" s="47"/>
      <c r="B204" s="51" t="s">
        <v>175</v>
      </c>
      <c r="C204" s="268" t="s">
        <v>482</v>
      </c>
      <c r="D204" s="268"/>
      <c r="E204" s="268"/>
      <c r="F204" s="268"/>
      <c r="G204" s="268"/>
      <c r="H204" s="268"/>
      <c r="I204" s="268"/>
      <c r="J204" s="268"/>
      <c r="K204" s="268"/>
    </row>
    <row r="205" spans="1:75" ht="13.5" customHeight="1">
      <c r="A205" s="21" t="s">
        <v>483</v>
      </c>
      <c r="B205" s="3" t="s">
        <v>484</v>
      </c>
      <c r="C205" s="229" t="s">
        <v>485</v>
      </c>
      <c r="D205" s="229"/>
      <c r="E205" s="3" t="s">
        <v>215</v>
      </c>
      <c r="F205" s="22">
        <v>239.08</v>
      </c>
      <c r="G205" s="22">
        <v>0</v>
      </c>
      <c r="H205" s="22">
        <f>F205*AO205</f>
        <v>0</v>
      </c>
      <c r="I205" s="22">
        <f>F205*AP205</f>
        <v>0</v>
      </c>
      <c r="J205" s="22">
        <f>F205*G205</f>
        <v>0</v>
      </c>
      <c r="K205" s="46" t="s">
        <v>167</v>
      </c>
      <c r="Z205" s="22">
        <f>IF(AQ205="5",BJ205,0)</f>
        <v>0</v>
      </c>
      <c r="AB205" s="22">
        <f>IF(AQ205="1",BH205,0)</f>
        <v>0</v>
      </c>
      <c r="AC205" s="22">
        <f>IF(AQ205="1",BI205,0)</f>
        <v>0</v>
      </c>
      <c r="AD205" s="22">
        <f>IF(AQ205="7",BH205,0)</f>
        <v>0</v>
      </c>
      <c r="AE205" s="22">
        <f>IF(AQ205="7",BI205,0)</f>
        <v>0</v>
      </c>
      <c r="AF205" s="22">
        <f>IF(AQ205="2",BH205,0)</f>
        <v>0</v>
      </c>
      <c r="AG205" s="22">
        <f>IF(AQ205="2",BI205,0)</f>
        <v>0</v>
      </c>
      <c r="AH205" s="22">
        <f>IF(AQ205="0",BJ205,0)</f>
        <v>0</v>
      </c>
      <c r="AI205" s="34"/>
      <c r="AJ205" s="22">
        <f>IF(AN205=0,J205,0)</f>
        <v>0</v>
      </c>
      <c r="AK205" s="22">
        <f>IF(AN205=15,J205,0)</f>
        <v>0</v>
      </c>
      <c r="AL205" s="22">
        <f>IF(AN205=21,J205,0)</f>
        <v>0</v>
      </c>
      <c r="AN205" s="22">
        <v>21</v>
      </c>
      <c r="AO205" s="22">
        <f>G205*0.133886447833204</f>
        <v>0</v>
      </c>
      <c r="AP205" s="22">
        <f>G205*(1-0.133886447833204)</f>
        <v>0</v>
      </c>
      <c r="AQ205" s="23" t="s">
        <v>212</v>
      </c>
      <c r="AV205" s="22">
        <f>AW205+AX205</f>
        <v>0</v>
      </c>
      <c r="AW205" s="22">
        <f>F205*AO205</f>
        <v>0</v>
      </c>
      <c r="AX205" s="22">
        <f>F205*AP205</f>
        <v>0</v>
      </c>
      <c r="AY205" s="23" t="s">
        <v>480</v>
      </c>
      <c r="AZ205" s="23" t="s">
        <v>475</v>
      </c>
      <c r="BA205" s="34" t="s">
        <v>170</v>
      </c>
      <c r="BC205" s="22">
        <f>AW205+AX205</f>
        <v>0</v>
      </c>
      <c r="BD205" s="22">
        <f>G205/(100-BE205)*100</f>
        <v>0</v>
      </c>
      <c r="BE205" s="22">
        <v>0</v>
      </c>
      <c r="BF205" s="22">
        <f>205</f>
        <v>205</v>
      </c>
      <c r="BH205" s="22">
        <f>F205*AO205</f>
        <v>0</v>
      </c>
      <c r="BI205" s="22">
        <f>F205*AP205</f>
        <v>0</v>
      </c>
      <c r="BJ205" s="22">
        <f>F205*G205</f>
        <v>0</v>
      </c>
      <c r="BK205" s="22"/>
      <c r="BL205" s="22">
        <v>784</v>
      </c>
      <c r="BW205" s="22">
        <v>21</v>
      </c>
    </row>
    <row r="206" spans="1:11" ht="15" customHeight="1">
      <c r="A206" s="47"/>
      <c r="C206" s="48" t="s">
        <v>486</v>
      </c>
      <c r="D206" s="48"/>
      <c r="F206" s="49">
        <v>239.08</v>
      </c>
      <c r="K206" s="50"/>
    </row>
    <row r="207" spans="1:11" ht="27" customHeight="1">
      <c r="A207" s="47"/>
      <c r="B207" s="51" t="s">
        <v>175</v>
      </c>
      <c r="C207" s="268" t="s">
        <v>487</v>
      </c>
      <c r="D207" s="268"/>
      <c r="E207" s="268"/>
      <c r="F207" s="268"/>
      <c r="G207" s="268"/>
      <c r="H207" s="268"/>
      <c r="I207" s="268"/>
      <c r="J207" s="268"/>
      <c r="K207" s="268"/>
    </row>
    <row r="208" spans="1:47" ht="15" customHeight="1">
      <c r="A208" s="42"/>
      <c r="B208" s="43" t="s">
        <v>105</v>
      </c>
      <c r="C208" s="267" t="s">
        <v>106</v>
      </c>
      <c r="D208" s="267"/>
      <c r="E208" s="44" t="s">
        <v>58</v>
      </c>
      <c r="F208" s="44" t="s">
        <v>58</v>
      </c>
      <c r="G208" s="44" t="s">
        <v>58</v>
      </c>
      <c r="H208" s="30">
        <f>SUM(H209:H209)</f>
        <v>0</v>
      </c>
      <c r="I208" s="30">
        <f>SUM(I209:I209)</f>
        <v>0</v>
      </c>
      <c r="J208" s="30">
        <f>SUM(J209:J209)</f>
        <v>0</v>
      </c>
      <c r="K208" s="45"/>
      <c r="AI208" s="34"/>
      <c r="AS208" s="30">
        <f>SUM(AJ209:AJ209)</f>
        <v>0</v>
      </c>
      <c r="AT208" s="30">
        <f>SUM(AK209:AK209)</f>
        <v>0</v>
      </c>
      <c r="AU208" s="30">
        <f>SUM(AL209:AL209)</f>
        <v>0</v>
      </c>
    </row>
    <row r="209" spans="1:75" ht="13.5" customHeight="1">
      <c r="A209" s="21" t="s">
        <v>488</v>
      </c>
      <c r="B209" s="3" t="s">
        <v>489</v>
      </c>
      <c r="C209" s="229" t="s">
        <v>490</v>
      </c>
      <c r="D209" s="229"/>
      <c r="E209" s="3" t="s">
        <v>491</v>
      </c>
      <c r="F209" s="22">
        <v>42</v>
      </c>
      <c r="G209" s="22">
        <v>0</v>
      </c>
      <c r="H209" s="22">
        <f>F209*AO209</f>
        <v>0</v>
      </c>
      <c r="I209" s="22">
        <f>F209*AP209</f>
        <v>0</v>
      </c>
      <c r="J209" s="22">
        <f>F209*G209</f>
        <v>0</v>
      </c>
      <c r="K209" s="46" t="s">
        <v>167</v>
      </c>
      <c r="Z209" s="22">
        <f>IF(AQ209="5",BJ209,0)</f>
        <v>0</v>
      </c>
      <c r="AB209" s="22">
        <f>IF(AQ209="1",BH209,0)</f>
        <v>0</v>
      </c>
      <c r="AC209" s="22">
        <f>IF(AQ209="1",BI209,0)</f>
        <v>0</v>
      </c>
      <c r="AD209" s="22">
        <f>IF(AQ209="7",BH209,0)</f>
        <v>0</v>
      </c>
      <c r="AE209" s="22">
        <f>IF(AQ209="7",BI209,0)</f>
        <v>0</v>
      </c>
      <c r="AF209" s="22">
        <f>IF(AQ209="2",BH209,0)</f>
        <v>0</v>
      </c>
      <c r="AG209" s="22">
        <f>IF(AQ209="2",BI209,0)</f>
        <v>0</v>
      </c>
      <c r="AH209" s="22">
        <f>IF(AQ209="0",BJ209,0)</f>
        <v>0</v>
      </c>
      <c r="AI209" s="34"/>
      <c r="AJ209" s="22">
        <f>IF(AN209=0,J209,0)</f>
        <v>0</v>
      </c>
      <c r="AK209" s="22">
        <f>IF(AN209=15,J209,0)</f>
        <v>0</v>
      </c>
      <c r="AL209" s="22">
        <f>IF(AN209=21,J209,0)</f>
        <v>0</v>
      </c>
      <c r="AN209" s="22">
        <v>21</v>
      </c>
      <c r="AO209" s="22">
        <f>G209*0</f>
        <v>0</v>
      </c>
      <c r="AP209" s="22">
        <f>G209*(1-0)</f>
        <v>0</v>
      </c>
      <c r="AQ209" s="23" t="s">
        <v>163</v>
      </c>
      <c r="AV209" s="22">
        <f>AW209+AX209</f>
        <v>0</v>
      </c>
      <c r="AW209" s="22">
        <f>F209*AO209</f>
        <v>0</v>
      </c>
      <c r="AX209" s="22">
        <f>F209*AP209</f>
        <v>0</v>
      </c>
      <c r="AY209" s="23" t="s">
        <v>492</v>
      </c>
      <c r="AZ209" s="23" t="s">
        <v>493</v>
      </c>
      <c r="BA209" s="34" t="s">
        <v>170</v>
      </c>
      <c r="BC209" s="22">
        <f>AW209+AX209</f>
        <v>0</v>
      </c>
      <c r="BD209" s="22">
        <f>G209/(100-BE209)*100</f>
        <v>0</v>
      </c>
      <c r="BE209" s="22">
        <v>0</v>
      </c>
      <c r="BF209" s="22">
        <f>209</f>
        <v>209</v>
      </c>
      <c r="BH209" s="22">
        <f>F209*AO209</f>
        <v>0</v>
      </c>
      <c r="BI209" s="22">
        <f>F209*AP209</f>
        <v>0</v>
      </c>
      <c r="BJ209" s="22">
        <f>F209*G209</f>
        <v>0</v>
      </c>
      <c r="BK209" s="22"/>
      <c r="BL209" s="22">
        <v>90</v>
      </c>
      <c r="BW209" s="22">
        <v>21</v>
      </c>
    </row>
    <row r="210" spans="1:11" ht="15" customHeight="1">
      <c r="A210" s="47"/>
      <c r="C210" s="48" t="s">
        <v>403</v>
      </c>
      <c r="D210" s="48"/>
      <c r="F210" s="49">
        <v>42</v>
      </c>
      <c r="K210" s="50"/>
    </row>
    <row r="211" spans="1:47" ht="15" customHeight="1">
      <c r="A211" s="42"/>
      <c r="B211" s="43" t="s">
        <v>107</v>
      </c>
      <c r="C211" s="267" t="s">
        <v>108</v>
      </c>
      <c r="D211" s="267"/>
      <c r="E211" s="44" t="s">
        <v>58</v>
      </c>
      <c r="F211" s="44" t="s">
        <v>58</v>
      </c>
      <c r="G211" s="44" t="s">
        <v>58</v>
      </c>
      <c r="H211" s="30">
        <f>SUM(H212:H212)</f>
        <v>0</v>
      </c>
      <c r="I211" s="30">
        <f>SUM(I212:I212)</f>
        <v>0</v>
      </c>
      <c r="J211" s="30">
        <f>SUM(J212:J212)</f>
        <v>0</v>
      </c>
      <c r="K211" s="45"/>
      <c r="AI211" s="34"/>
      <c r="AS211" s="30">
        <f>SUM(AJ212:AJ212)</f>
        <v>0</v>
      </c>
      <c r="AT211" s="30">
        <f>SUM(AK212:AK212)</f>
        <v>0</v>
      </c>
      <c r="AU211" s="30">
        <f>SUM(AL212:AL212)</f>
        <v>0</v>
      </c>
    </row>
    <row r="212" spans="1:75" ht="13.5" customHeight="1">
      <c r="A212" s="21" t="s">
        <v>79</v>
      </c>
      <c r="B212" s="3" t="s">
        <v>494</v>
      </c>
      <c r="C212" s="229" t="s">
        <v>495</v>
      </c>
      <c r="D212" s="229"/>
      <c r="E212" s="3" t="s">
        <v>215</v>
      </c>
      <c r="F212" s="22">
        <v>156.23</v>
      </c>
      <c r="G212" s="22">
        <v>0</v>
      </c>
      <c r="H212" s="22">
        <f>F212*AO212</f>
        <v>0</v>
      </c>
      <c r="I212" s="22">
        <f>F212*AP212</f>
        <v>0</v>
      </c>
      <c r="J212" s="22">
        <f>F212*G212</f>
        <v>0</v>
      </c>
      <c r="K212" s="46" t="s">
        <v>167</v>
      </c>
      <c r="Z212" s="22">
        <f>IF(AQ212="5",BJ212,0)</f>
        <v>0</v>
      </c>
      <c r="AB212" s="22">
        <f>IF(AQ212="1",BH212,0)</f>
        <v>0</v>
      </c>
      <c r="AC212" s="22">
        <f>IF(AQ212="1",BI212,0)</f>
        <v>0</v>
      </c>
      <c r="AD212" s="22">
        <f>IF(AQ212="7",BH212,0)</f>
        <v>0</v>
      </c>
      <c r="AE212" s="22">
        <f>IF(AQ212="7",BI212,0)</f>
        <v>0</v>
      </c>
      <c r="AF212" s="22">
        <f>IF(AQ212="2",BH212,0)</f>
        <v>0</v>
      </c>
      <c r="AG212" s="22">
        <f>IF(AQ212="2",BI212,0)</f>
        <v>0</v>
      </c>
      <c r="AH212" s="22">
        <f>IF(AQ212="0",BJ212,0)</f>
        <v>0</v>
      </c>
      <c r="AI212" s="34"/>
      <c r="AJ212" s="22">
        <f>IF(AN212=0,J212,0)</f>
        <v>0</v>
      </c>
      <c r="AK212" s="22">
        <f>IF(AN212=15,J212,0)</f>
        <v>0</v>
      </c>
      <c r="AL212" s="22">
        <f>IF(AN212=21,J212,0)</f>
        <v>0</v>
      </c>
      <c r="AN212" s="22">
        <v>21</v>
      </c>
      <c r="AO212" s="22">
        <f>G212*0.0138858896005003</f>
        <v>0</v>
      </c>
      <c r="AP212" s="22">
        <f>G212*(1-0.0138858896005003)</f>
        <v>0</v>
      </c>
      <c r="AQ212" s="23" t="s">
        <v>163</v>
      </c>
      <c r="AV212" s="22">
        <f>AW212+AX212</f>
        <v>0</v>
      </c>
      <c r="AW212" s="22">
        <f>F212*AO212</f>
        <v>0</v>
      </c>
      <c r="AX212" s="22">
        <f>F212*AP212</f>
        <v>0</v>
      </c>
      <c r="AY212" s="23" t="s">
        <v>496</v>
      </c>
      <c r="AZ212" s="23" t="s">
        <v>493</v>
      </c>
      <c r="BA212" s="34" t="s">
        <v>170</v>
      </c>
      <c r="BC212" s="22">
        <f>AW212+AX212</f>
        <v>0</v>
      </c>
      <c r="BD212" s="22">
        <f>G212/(100-BE212)*100</f>
        <v>0</v>
      </c>
      <c r="BE212" s="22">
        <v>0</v>
      </c>
      <c r="BF212" s="22">
        <f>212</f>
        <v>212</v>
      </c>
      <c r="BH212" s="22">
        <f>F212*AO212</f>
        <v>0</v>
      </c>
      <c r="BI212" s="22">
        <f>F212*AP212</f>
        <v>0</v>
      </c>
      <c r="BJ212" s="22">
        <f>F212*G212</f>
        <v>0</v>
      </c>
      <c r="BK212" s="22"/>
      <c r="BL212" s="22">
        <v>95</v>
      </c>
      <c r="BW212" s="22">
        <v>21</v>
      </c>
    </row>
    <row r="213" spans="1:11" ht="15" customHeight="1">
      <c r="A213" s="47"/>
      <c r="C213" s="48" t="s">
        <v>497</v>
      </c>
      <c r="D213" s="48"/>
      <c r="F213" s="49">
        <v>13.73</v>
      </c>
      <c r="K213" s="50"/>
    </row>
    <row r="214" spans="1:11" ht="15" customHeight="1">
      <c r="A214" s="47"/>
      <c r="C214" s="48" t="s">
        <v>498</v>
      </c>
      <c r="D214" s="48"/>
      <c r="F214" s="49">
        <v>5.82</v>
      </c>
      <c r="K214" s="50"/>
    </row>
    <row r="215" spans="1:11" ht="15" customHeight="1">
      <c r="A215" s="47"/>
      <c r="C215" s="48" t="s">
        <v>499</v>
      </c>
      <c r="D215" s="48"/>
      <c r="F215" s="49">
        <v>22.020000000000003</v>
      </c>
      <c r="K215" s="50"/>
    </row>
    <row r="216" spans="1:11" ht="15" customHeight="1">
      <c r="A216" s="47"/>
      <c r="C216" s="48" t="s">
        <v>500</v>
      </c>
      <c r="D216" s="48"/>
      <c r="F216" s="49">
        <v>66.21000000000001</v>
      </c>
      <c r="K216" s="50"/>
    </row>
    <row r="217" spans="1:11" ht="15" customHeight="1">
      <c r="A217" s="47"/>
      <c r="C217" s="48" t="s">
        <v>501</v>
      </c>
      <c r="D217" s="48"/>
      <c r="F217" s="49">
        <v>20.310000000000002</v>
      </c>
      <c r="K217" s="50"/>
    </row>
    <row r="218" spans="1:11" ht="15" customHeight="1">
      <c r="A218" s="47"/>
      <c r="C218" s="48" t="s">
        <v>502</v>
      </c>
      <c r="D218" s="48"/>
      <c r="F218" s="49">
        <v>28.14</v>
      </c>
      <c r="K218" s="50"/>
    </row>
    <row r="219" spans="1:11" ht="13.5" customHeight="1">
      <c r="A219" s="47"/>
      <c r="B219" s="51" t="s">
        <v>175</v>
      </c>
      <c r="C219" s="268" t="s">
        <v>503</v>
      </c>
      <c r="D219" s="268"/>
      <c r="E219" s="268"/>
      <c r="F219" s="268"/>
      <c r="G219" s="268"/>
      <c r="H219" s="268"/>
      <c r="I219" s="268"/>
      <c r="J219" s="268"/>
      <c r="K219" s="268"/>
    </row>
    <row r="220" spans="1:47" ht="15" customHeight="1">
      <c r="A220" s="42"/>
      <c r="B220" s="43" t="s">
        <v>109</v>
      </c>
      <c r="C220" s="267" t="s">
        <v>110</v>
      </c>
      <c r="D220" s="267"/>
      <c r="E220" s="44" t="s">
        <v>58</v>
      </c>
      <c r="F220" s="44" t="s">
        <v>58</v>
      </c>
      <c r="G220" s="44" t="s">
        <v>58</v>
      </c>
      <c r="H220" s="30">
        <f>SUM(H221:H228)</f>
        <v>0</v>
      </c>
      <c r="I220" s="30">
        <f>SUM(I221:I228)</f>
        <v>0</v>
      </c>
      <c r="J220" s="30">
        <f>SUM(J221:J228)</f>
        <v>0</v>
      </c>
      <c r="K220" s="45"/>
      <c r="AI220" s="34"/>
      <c r="AS220" s="30">
        <f>SUM(AJ221:AJ228)</f>
        <v>0</v>
      </c>
      <c r="AT220" s="30">
        <f>SUM(AK221:AK228)</f>
        <v>0</v>
      </c>
      <c r="AU220" s="30">
        <f>SUM(AL221:AL228)</f>
        <v>0</v>
      </c>
    </row>
    <row r="221" spans="1:75" ht="13.5" customHeight="1">
      <c r="A221" s="21" t="s">
        <v>504</v>
      </c>
      <c r="B221" s="3" t="s">
        <v>505</v>
      </c>
      <c r="C221" s="229" t="s">
        <v>506</v>
      </c>
      <c r="D221" s="229"/>
      <c r="E221" s="3" t="s">
        <v>215</v>
      </c>
      <c r="F221" s="22">
        <v>27.2144</v>
      </c>
      <c r="G221" s="22">
        <v>0</v>
      </c>
      <c r="H221" s="22">
        <f>F221*AO221</f>
        <v>0</v>
      </c>
      <c r="I221" s="22">
        <f>F221*AP221</f>
        <v>0</v>
      </c>
      <c r="J221" s="22">
        <f>F221*G221</f>
        <v>0</v>
      </c>
      <c r="K221" s="46" t="s">
        <v>167</v>
      </c>
      <c r="Z221" s="22">
        <f>IF(AQ221="5",BJ221,0)</f>
        <v>0</v>
      </c>
      <c r="AB221" s="22">
        <f>IF(AQ221="1",BH221,0)</f>
        <v>0</v>
      </c>
      <c r="AC221" s="22">
        <f>IF(AQ221="1",BI221,0)</f>
        <v>0</v>
      </c>
      <c r="AD221" s="22">
        <f>IF(AQ221="7",BH221,0)</f>
        <v>0</v>
      </c>
      <c r="AE221" s="22">
        <f>IF(AQ221="7",BI221,0)</f>
        <v>0</v>
      </c>
      <c r="AF221" s="22">
        <f>IF(AQ221="2",BH221,0)</f>
        <v>0</v>
      </c>
      <c r="AG221" s="22">
        <f>IF(AQ221="2",BI221,0)</f>
        <v>0</v>
      </c>
      <c r="AH221" s="22">
        <f>IF(AQ221="0",BJ221,0)</f>
        <v>0</v>
      </c>
      <c r="AI221" s="34"/>
      <c r="AJ221" s="22">
        <f>IF(AN221=0,J221,0)</f>
        <v>0</v>
      </c>
      <c r="AK221" s="22">
        <f>IF(AN221=15,J221,0)</f>
        <v>0</v>
      </c>
      <c r="AL221" s="22">
        <f>IF(AN221=21,J221,0)</f>
        <v>0</v>
      </c>
      <c r="AN221" s="22">
        <v>21</v>
      </c>
      <c r="AO221" s="22">
        <f>G221*0.10067355979575</f>
        <v>0</v>
      </c>
      <c r="AP221" s="22">
        <f>G221*(1-0.10067355979575)</f>
        <v>0</v>
      </c>
      <c r="AQ221" s="23" t="s">
        <v>163</v>
      </c>
      <c r="AV221" s="22">
        <f>AW221+AX221</f>
        <v>0</v>
      </c>
      <c r="AW221" s="22">
        <f>F221*AO221</f>
        <v>0</v>
      </c>
      <c r="AX221" s="22">
        <f>F221*AP221</f>
        <v>0</v>
      </c>
      <c r="AY221" s="23" t="s">
        <v>507</v>
      </c>
      <c r="AZ221" s="23" t="s">
        <v>493</v>
      </c>
      <c r="BA221" s="34" t="s">
        <v>170</v>
      </c>
      <c r="BC221" s="22">
        <f>AW221+AX221</f>
        <v>0</v>
      </c>
      <c r="BD221" s="22">
        <f>G221/(100-BE221)*100</f>
        <v>0</v>
      </c>
      <c r="BE221" s="22">
        <v>0</v>
      </c>
      <c r="BF221" s="22">
        <f>221</f>
        <v>221</v>
      </c>
      <c r="BH221" s="22">
        <f>F221*AO221</f>
        <v>0</v>
      </c>
      <c r="BI221" s="22">
        <f>F221*AP221</f>
        <v>0</v>
      </c>
      <c r="BJ221" s="22">
        <f>F221*G221</f>
        <v>0</v>
      </c>
      <c r="BK221" s="22"/>
      <c r="BL221" s="22">
        <v>96</v>
      </c>
      <c r="BW221" s="22">
        <v>21</v>
      </c>
    </row>
    <row r="222" spans="1:11" ht="15" customHeight="1">
      <c r="A222" s="47"/>
      <c r="C222" s="48" t="s">
        <v>508</v>
      </c>
      <c r="D222" s="48"/>
      <c r="F222" s="49">
        <v>11.1264</v>
      </c>
      <c r="K222" s="50"/>
    </row>
    <row r="223" spans="1:11" ht="15" customHeight="1">
      <c r="A223" s="47"/>
      <c r="C223" s="48" t="s">
        <v>509</v>
      </c>
      <c r="D223" s="48"/>
      <c r="F223" s="49">
        <v>14.288000000000002</v>
      </c>
      <c r="K223" s="50"/>
    </row>
    <row r="224" spans="1:11" ht="15" customHeight="1">
      <c r="A224" s="47"/>
      <c r="C224" s="48" t="s">
        <v>510</v>
      </c>
      <c r="D224" s="48" t="s">
        <v>511</v>
      </c>
      <c r="F224" s="49">
        <v>1.8</v>
      </c>
      <c r="K224" s="50"/>
    </row>
    <row r="225" spans="1:75" ht="13.5" customHeight="1">
      <c r="A225" s="21" t="s">
        <v>81</v>
      </c>
      <c r="B225" s="3" t="s">
        <v>512</v>
      </c>
      <c r="C225" s="229" t="s">
        <v>513</v>
      </c>
      <c r="D225" s="229"/>
      <c r="E225" s="3" t="s">
        <v>166</v>
      </c>
      <c r="F225" s="22">
        <v>0.14438</v>
      </c>
      <c r="G225" s="22">
        <v>0</v>
      </c>
      <c r="H225" s="22">
        <f>F225*AO225</f>
        <v>0</v>
      </c>
      <c r="I225" s="22">
        <f>F225*AP225</f>
        <v>0</v>
      </c>
      <c r="J225" s="22">
        <f>F225*G225</f>
        <v>0</v>
      </c>
      <c r="K225" s="46" t="s">
        <v>167</v>
      </c>
      <c r="Z225" s="22">
        <f>IF(AQ225="5",BJ225,0)</f>
        <v>0</v>
      </c>
      <c r="AB225" s="22">
        <f>IF(AQ225="1",BH225,0)</f>
        <v>0</v>
      </c>
      <c r="AC225" s="22">
        <f>IF(AQ225="1",BI225,0)</f>
        <v>0</v>
      </c>
      <c r="AD225" s="22">
        <f>IF(AQ225="7",BH225,0)</f>
        <v>0</v>
      </c>
      <c r="AE225" s="22">
        <f>IF(AQ225="7",BI225,0)</f>
        <v>0</v>
      </c>
      <c r="AF225" s="22">
        <f>IF(AQ225="2",BH225,0)</f>
        <v>0</v>
      </c>
      <c r="AG225" s="22">
        <f>IF(AQ225="2",BI225,0)</f>
        <v>0</v>
      </c>
      <c r="AH225" s="22">
        <f>IF(AQ225="0",BJ225,0)</f>
        <v>0</v>
      </c>
      <c r="AI225" s="34"/>
      <c r="AJ225" s="22">
        <f>IF(AN225=0,J225,0)</f>
        <v>0</v>
      </c>
      <c r="AK225" s="22">
        <f>IF(AN225=15,J225,0)</f>
        <v>0</v>
      </c>
      <c r="AL225" s="22">
        <f>IF(AN225=21,J225,0)</f>
        <v>0</v>
      </c>
      <c r="AN225" s="22">
        <v>21</v>
      </c>
      <c r="AO225" s="22">
        <f>G225*0.03925291776028</f>
        <v>0</v>
      </c>
      <c r="AP225" s="22">
        <f>G225*(1-0.03925291776028)</f>
        <v>0</v>
      </c>
      <c r="AQ225" s="23" t="s">
        <v>163</v>
      </c>
      <c r="AV225" s="22">
        <f>AW225+AX225</f>
        <v>0</v>
      </c>
      <c r="AW225" s="22">
        <f>F225*AO225</f>
        <v>0</v>
      </c>
      <c r="AX225" s="22">
        <f>F225*AP225</f>
        <v>0</v>
      </c>
      <c r="AY225" s="23" t="s">
        <v>507</v>
      </c>
      <c r="AZ225" s="23" t="s">
        <v>493</v>
      </c>
      <c r="BA225" s="34" t="s">
        <v>170</v>
      </c>
      <c r="BC225" s="22">
        <f>AW225+AX225</f>
        <v>0</v>
      </c>
      <c r="BD225" s="22">
        <f>G225/(100-BE225)*100</f>
        <v>0</v>
      </c>
      <c r="BE225" s="22">
        <v>0</v>
      </c>
      <c r="BF225" s="22">
        <f>225</f>
        <v>225</v>
      </c>
      <c r="BH225" s="22">
        <f>F225*AO225</f>
        <v>0</v>
      </c>
      <c r="BI225" s="22">
        <f>F225*AP225</f>
        <v>0</v>
      </c>
      <c r="BJ225" s="22">
        <f>F225*G225</f>
        <v>0</v>
      </c>
      <c r="BK225" s="22"/>
      <c r="BL225" s="22">
        <v>96</v>
      </c>
      <c r="BW225" s="22">
        <v>21</v>
      </c>
    </row>
    <row r="226" spans="1:11" ht="15" customHeight="1">
      <c r="A226" s="47"/>
      <c r="C226" s="48" t="s">
        <v>514</v>
      </c>
      <c r="D226" s="48" t="s">
        <v>515</v>
      </c>
      <c r="F226" s="49">
        <v>0.14438</v>
      </c>
      <c r="K226" s="50"/>
    </row>
    <row r="227" spans="1:11" ht="13.5" customHeight="1">
      <c r="A227" s="47"/>
      <c r="B227" s="51" t="s">
        <v>175</v>
      </c>
      <c r="C227" s="268" t="s">
        <v>516</v>
      </c>
      <c r="D227" s="268"/>
      <c r="E227" s="268"/>
      <c r="F227" s="268"/>
      <c r="G227" s="268"/>
      <c r="H227" s="268"/>
      <c r="I227" s="268"/>
      <c r="J227" s="268"/>
      <c r="K227" s="268"/>
    </row>
    <row r="228" spans="1:75" ht="13.5" customHeight="1">
      <c r="A228" s="21" t="s">
        <v>83</v>
      </c>
      <c r="B228" s="3" t="s">
        <v>517</v>
      </c>
      <c r="C228" s="229" t="s">
        <v>518</v>
      </c>
      <c r="D228" s="229"/>
      <c r="E228" s="3" t="s">
        <v>166</v>
      </c>
      <c r="F228" s="22">
        <v>0.15795</v>
      </c>
      <c r="G228" s="22">
        <v>0</v>
      </c>
      <c r="H228" s="22">
        <f>F228*AO228</f>
        <v>0</v>
      </c>
      <c r="I228" s="22">
        <f>F228*AP228</f>
        <v>0</v>
      </c>
      <c r="J228" s="22">
        <f>F228*G228</f>
        <v>0</v>
      </c>
      <c r="K228" s="46" t="s">
        <v>167</v>
      </c>
      <c r="Z228" s="22">
        <f>IF(AQ228="5",BJ228,0)</f>
        <v>0</v>
      </c>
      <c r="AB228" s="22">
        <f>IF(AQ228="1",BH228,0)</f>
        <v>0</v>
      </c>
      <c r="AC228" s="22">
        <f>IF(AQ228="1",BI228,0)</f>
        <v>0</v>
      </c>
      <c r="AD228" s="22">
        <f>IF(AQ228="7",BH228,0)</f>
        <v>0</v>
      </c>
      <c r="AE228" s="22">
        <f>IF(AQ228="7",BI228,0)</f>
        <v>0</v>
      </c>
      <c r="AF228" s="22">
        <f>IF(AQ228="2",BH228,0)</f>
        <v>0</v>
      </c>
      <c r="AG228" s="22">
        <f>IF(AQ228="2",BI228,0)</f>
        <v>0</v>
      </c>
      <c r="AH228" s="22">
        <f>IF(AQ228="0",BJ228,0)</f>
        <v>0</v>
      </c>
      <c r="AI228" s="34"/>
      <c r="AJ228" s="22">
        <f>IF(AN228=0,J228,0)</f>
        <v>0</v>
      </c>
      <c r="AK228" s="22">
        <f>IF(AN228=15,J228,0)</f>
        <v>0</v>
      </c>
      <c r="AL228" s="22">
        <f>IF(AN228=21,J228,0)</f>
        <v>0</v>
      </c>
      <c r="AN228" s="22">
        <v>21</v>
      </c>
      <c r="AO228" s="22">
        <f>G228*0</f>
        <v>0</v>
      </c>
      <c r="AP228" s="22">
        <f>G228*(1-0)</f>
        <v>0</v>
      </c>
      <c r="AQ228" s="23" t="s">
        <v>163</v>
      </c>
      <c r="AV228" s="22">
        <f>AW228+AX228</f>
        <v>0</v>
      </c>
      <c r="AW228" s="22">
        <f>F228*AO228</f>
        <v>0</v>
      </c>
      <c r="AX228" s="22">
        <f>F228*AP228</f>
        <v>0</v>
      </c>
      <c r="AY228" s="23" t="s">
        <v>507</v>
      </c>
      <c r="AZ228" s="23" t="s">
        <v>493</v>
      </c>
      <c r="BA228" s="34" t="s">
        <v>170</v>
      </c>
      <c r="BC228" s="22">
        <f>AW228+AX228</f>
        <v>0</v>
      </c>
      <c r="BD228" s="22">
        <f>G228/(100-BE228)*100</f>
        <v>0</v>
      </c>
      <c r="BE228" s="22">
        <v>0</v>
      </c>
      <c r="BF228" s="22">
        <f>228</f>
        <v>228</v>
      </c>
      <c r="BH228" s="22">
        <f>F228*AO228</f>
        <v>0</v>
      </c>
      <c r="BI228" s="22">
        <f>F228*AP228</f>
        <v>0</v>
      </c>
      <c r="BJ228" s="22">
        <f>F228*G228</f>
        <v>0</v>
      </c>
      <c r="BK228" s="22"/>
      <c r="BL228" s="22">
        <v>96</v>
      </c>
      <c r="BW228" s="22">
        <v>21</v>
      </c>
    </row>
    <row r="229" spans="1:11" ht="15" customHeight="1">
      <c r="A229" s="47"/>
      <c r="C229" s="48" t="s">
        <v>519</v>
      </c>
      <c r="D229" s="48" t="s">
        <v>520</v>
      </c>
      <c r="F229" s="49">
        <v>0.15795</v>
      </c>
      <c r="K229" s="50"/>
    </row>
    <row r="230" spans="1:11" ht="13.5" customHeight="1">
      <c r="A230" s="47"/>
      <c r="B230" s="51" t="s">
        <v>175</v>
      </c>
      <c r="C230" s="268" t="s">
        <v>521</v>
      </c>
      <c r="D230" s="268"/>
      <c r="E230" s="268"/>
      <c r="F230" s="268"/>
      <c r="G230" s="268"/>
      <c r="H230" s="268"/>
      <c r="I230" s="268"/>
      <c r="J230" s="268"/>
      <c r="K230" s="268"/>
    </row>
    <row r="231" spans="1:47" ht="15" customHeight="1">
      <c r="A231" s="42"/>
      <c r="B231" s="43" t="s">
        <v>111</v>
      </c>
      <c r="C231" s="267" t="s">
        <v>112</v>
      </c>
      <c r="D231" s="267"/>
      <c r="E231" s="44" t="s">
        <v>58</v>
      </c>
      <c r="F231" s="44" t="s">
        <v>58</v>
      </c>
      <c r="G231" s="44" t="s">
        <v>58</v>
      </c>
      <c r="H231" s="30">
        <f>SUM(H232:H239)</f>
        <v>0</v>
      </c>
      <c r="I231" s="30">
        <f>SUM(I232:I239)</f>
        <v>0</v>
      </c>
      <c r="J231" s="30">
        <f>SUM(J232:J239)</f>
        <v>0</v>
      </c>
      <c r="K231" s="45"/>
      <c r="AI231" s="34"/>
      <c r="AS231" s="30">
        <f>SUM(AJ232:AJ239)</f>
        <v>0</v>
      </c>
      <c r="AT231" s="30">
        <f>SUM(AK232:AK239)</f>
        <v>0</v>
      </c>
      <c r="AU231" s="30">
        <f>SUM(AL232:AL239)</f>
        <v>0</v>
      </c>
    </row>
    <row r="232" spans="1:75" ht="13.5" customHeight="1">
      <c r="A232" s="21" t="s">
        <v>522</v>
      </c>
      <c r="B232" s="3" t="s">
        <v>523</v>
      </c>
      <c r="C232" s="229" t="s">
        <v>524</v>
      </c>
      <c r="D232" s="229"/>
      <c r="E232" s="3" t="s">
        <v>243</v>
      </c>
      <c r="F232" s="22">
        <v>13.62</v>
      </c>
      <c r="G232" s="22">
        <v>0</v>
      </c>
      <c r="H232" s="22">
        <f>F232*AO232</f>
        <v>0</v>
      </c>
      <c r="I232" s="22">
        <f>F232*AP232</f>
        <v>0</v>
      </c>
      <c r="J232" s="22">
        <f>F232*G232</f>
        <v>0</v>
      </c>
      <c r="K232" s="46" t="s">
        <v>167</v>
      </c>
      <c r="Z232" s="22">
        <f>IF(AQ232="5",BJ232,0)</f>
        <v>0</v>
      </c>
      <c r="AB232" s="22">
        <f>IF(AQ232="1",BH232,0)</f>
        <v>0</v>
      </c>
      <c r="AC232" s="22">
        <f>IF(AQ232="1",BI232,0)</f>
        <v>0</v>
      </c>
      <c r="AD232" s="22">
        <f>IF(AQ232="7",BH232,0)</f>
        <v>0</v>
      </c>
      <c r="AE232" s="22">
        <f>IF(AQ232="7",BI232,0)</f>
        <v>0</v>
      </c>
      <c r="AF232" s="22">
        <f>IF(AQ232="2",BH232,0)</f>
        <v>0</v>
      </c>
      <c r="AG232" s="22">
        <f>IF(AQ232="2",BI232,0)</f>
        <v>0</v>
      </c>
      <c r="AH232" s="22">
        <f>IF(AQ232="0",BJ232,0)</f>
        <v>0</v>
      </c>
      <c r="AI232" s="34"/>
      <c r="AJ232" s="22">
        <f>IF(AN232=0,J232,0)</f>
        <v>0</v>
      </c>
      <c r="AK232" s="22">
        <f>IF(AN232=15,J232,0)</f>
        <v>0</v>
      </c>
      <c r="AL232" s="22">
        <f>IF(AN232=21,J232,0)</f>
        <v>0</v>
      </c>
      <c r="AN232" s="22">
        <v>21</v>
      </c>
      <c r="AO232" s="22">
        <f>G232*0</f>
        <v>0</v>
      </c>
      <c r="AP232" s="22">
        <f>G232*(1-0)</f>
        <v>0</v>
      </c>
      <c r="AQ232" s="23" t="s">
        <v>163</v>
      </c>
      <c r="AV232" s="22">
        <f>AW232+AX232</f>
        <v>0</v>
      </c>
      <c r="AW232" s="22">
        <f>F232*AO232</f>
        <v>0</v>
      </c>
      <c r="AX232" s="22">
        <f>F232*AP232</f>
        <v>0</v>
      </c>
      <c r="AY232" s="23" t="s">
        <v>525</v>
      </c>
      <c r="AZ232" s="23" t="s">
        <v>493</v>
      </c>
      <c r="BA232" s="34" t="s">
        <v>170</v>
      </c>
      <c r="BC232" s="22">
        <f>AW232+AX232</f>
        <v>0</v>
      </c>
      <c r="BD232" s="22">
        <f>G232/(100-BE232)*100</f>
        <v>0</v>
      </c>
      <c r="BE232" s="22">
        <v>0</v>
      </c>
      <c r="BF232" s="22">
        <f>232</f>
        <v>232</v>
      </c>
      <c r="BH232" s="22">
        <f>F232*AO232</f>
        <v>0</v>
      </c>
      <c r="BI232" s="22">
        <f>F232*AP232</f>
        <v>0</v>
      </c>
      <c r="BJ232" s="22">
        <f>F232*G232</f>
        <v>0</v>
      </c>
      <c r="BK232" s="22"/>
      <c r="BL232" s="22">
        <v>97</v>
      </c>
      <c r="BW232" s="22">
        <v>21</v>
      </c>
    </row>
    <row r="233" spans="1:11" ht="15" customHeight="1">
      <c r="A233" s="47"/>
      <c r="C233" s="48" t="s">
        <v>526</v>
      </c>
      <c r="D233" s="48"/>
      <c r="F233" s="49">
        <v>13.62</v>
      </c>
      <c r="K233" s="50"/>
    </row>
    <row r="234" spans="1:11" ht="13.5" customHeight="1">
      <c r="A234" s="47"/>
      <c r="B234" s="51" t="s">
        <v>175</v>
      </c>
      <c r="C234" s="268" t="s">
        <v>527</v>
      </c>
      <c r="D234" s="268"/>
      <c r="E234" s="268"/>
      <c r="F234" s="268"/>
      <c r="G234" s="268"/>
      <c r="H234" s="268"/>
      <c r="I234" s="268"/>
      <c r="J234" s="268"/>
      <c r="K234" s="268"/>
    </row>
    <row r="235" spans="1:75" ht="13.5" customHeight="1">
      <c r="A235" s="21" t="s">
        <v>528</v>
      </c>
      <c r="B235" s="3" t="s">
        <v>529</v>
      </c>
      <c r="C235" s="229" t="s">
        <v>530</v>
      </c>
      <c r="D235" s="229"/>
      <c r="E235" s="3" t="s">
        <v>215</v>
      </c>
      <c r="F235" s="22">
        <v>120.1408</v>
      </c>
      <c r="G235" s="22">
        <v>0</v>
      </c>
      <c r="H235" s="22">
        <f>F235*AO235</f>
        <v>0</v>
      </c>
      <c r="I235" s="22">
        <f>F235*AP235</f>
        <v>0</v>
      </c>
      <c r="J235" s="22">
        <f>F235*G235</f>
        <v>0</v>
      </c>
      <c r="K235" s="46" t="s">
        <v>167</v>
      </c>
      <c r="Z235" s="22">
        <f>IF(AQ235="5",BJ235,0)</f>
        <v>0</v>
      </c>
      <c r="AB235" s="22">
        <f>IF(AQ235="1",BH235,0)</f>
        <v>0</v>
      </c>
      <c r="AC235" s="22">
        <f>IF(AQ235="1",BI235,0)</f>
        <v>0</v>
      </c>
      <c r="AD235" s="22">
        <f>IF(AQ235="7",BH235,0)</f>
        <v>0</v>
      </c>
      <c r="AE235" s="22">
        <f>IF(AQ235="7",BI235,0)</f>
        <v>0</v>
      </c>
      <c r="AF235" s="22">
        <f>IF(AQ235="2",BH235,0)</f>
        <v>0</v>
      </c>
      <c r="AG235" s="22">
        <f>IF(AQ235="2",BI235,0)</f>
        <v>0</v>
      </c>
      <c r="AH235" s="22">
        <f>IF(AQ235="0",BJ235,0)</f>
        <v>0</v>
      </c>
      <c r="AI235" s="34"/>
      <c r="AJ235" s="22">
        <f>IF(AN235=0,J235,0)</f>
        <v>0</v>
      </c>
      <c r="AK235" s="22">
        <f>IF(AN235=15,J235,0)</f>
        <v>0</v>
      </c>
      <c r="AL235" s="22">
        <f>IF(AN235=21,J235,0)</f>
        <v>0</v>
      </c>
      <c r="AN235" s="22">
        <v>21</v>
      </c>
      <c r="AO235" s="22">
        <f>G235*0</f>
        <v>0</v>
      </c>
      <c r="AP235" s="22">
        <f>G235*(1-0)</f>
        <v>0</v>
      </c>
      <c r="AQ235" s="23" t="s">
        <v>163</v>
      </c>
      <c r="AV235" s="22">
        <f>AW235+AX235</f>
        <v>0</v>
      </c>
      <c r="AW235" s="22">
        <f>F235*AO235</f>
        <v>0</v>
      </c>
      <c r="AX235" s="22">
        <f>F235*AP235</f>
        <v>0</v>
      </c>
      <c r="AY235" s="23" t="s">
        <v>525</v>
      </c>
      <c r="AZ235" s="23" t="s">
        <v>493</v>
      </c>
      <c r="BA235" s="34" t="s">
        <v>170</v>
      </c>
      <c r="BC235" s="22">
        <f>AW235+AX235</f>
        <v>0</v>
      </c>
      <c r="BD235" s="22">
        <f>G235/(100-BE235)*100</f>
        <v>0</v>
      </c>
      <c r="BE235" s="22">
        <v>0</v>
      </c>
      <c r="BF235" s="22">
        <f>235</f>
        <v>235</v>
      </c>
      <c r="BH235" s="22">
        <f>F235*AO235</f>
        <v>0</v>
      </c>
      <c r="BI235" s="22">
        <f>F235*AP235</f>
        <v>0</v>
      </c>
      <c r="BJ235" s="22">
        <f>F235*G235</f>
        <v>0</v>
      </c>
      <c r="BK235" s="22"/>
      <c r="BL235" s="22">
        <v>97</v>
      </c>
      <c r="BW235" s="22">
        <v>21</v>
      </c>
    </row>
    <row r="236" spans="1:11" ht="15" customHeight="1">
      <c r="A236" s="47"/>
      <c r="C236" s="48" t="s">
        <v>531</v>
      </c>
      <c r="D236" s="48" t="s">
        <v>317</v>
      </c>
      <c r="F236" s="49">
        <v>55.0848</v>
      </c>
      <c r="K236" s="50"/>
    </row>
    <row r="237" spans="1:11" ht="15" customHeight="1">
      <c r="A237" s="47"/>
      <c r="C237" s="48" t="s">
        <v>532</v>
      </c>
      <c r="D237" s="48" t="s">
        <v>319</v>
      </c>
      <c r="F237" s="49">
        <v>65.05600000000001</v>
      </c>
      <c r="K237" s="50"/>
    </row>
    <row r="238" spans="1:11" ht="13.5" customHeight="1">
      <c r="A238" s="47"/>
      <c r="B238" s="51" t="s">
        <v>175</v>
      </c>
      <c r="C238" s="268" t="s">
        <v>533</v>
      </c>
      <c r="D238" s="268"/>
      <c r="E238" s="268"/>
      <c r="F238" s="268"/>
      <c r="G238" s="268"/>
      <c r="H238" s="268"/>
      <c r="I238" s="268"/>
      <c r="J238" s="268"/>
      <c r="K238" s="268"/>
    </row>
    <row r="239" spans="1:75" ht="13.5" customHeight="1">
      <c r="A239" s="21" t="s">
        <v>534</v>
      </c>
      <c r="B239" s="3" t="s">
        <v>535</v>
      </c>
      <c r="C239" s="229" t="s">
        <v>536</v>
      </c>
      <c r="D239" s="229"/>
      <c r="E239" s="3" t="s">
        <v>215</v>
      </c>
      <c r="F239" s="22">
        <v>63.3414</v>
      </c>
      <c r="G239" s="22">
        <v>0</v>
      </c>
      <c r="H239" s="22">
        <f>F239*AO239</f>
        <v>0</v>
      </c>
      <c r="I239" s="22">
        <f>F239*AP239</f>
        <v>0</v>
      </c>
      <c r="J239" s="22">
        <f>F239*G239</f>
        <v>0</v>
      </c>
      <c r="K239" s="46" t="s">
        <v>167</v>
      </c>
      <c r="Z239" s="22">
        <f>IF(AQ239="5",BJ239,0)</f>
        <v>0</v>
      </c>
      <c r="AB239" s="22">
        <f>IF(AQ239="1",BH239,0)</f>
        <v>0</v>
      </c>
      <c r="AC239" s="22">
        <f>IF(AQ239="1",BI239,0)</f>
        <v>0</v>
      </c>
      <c r="AD239" s="22">
        <f>IF(AQ239="7",BH239,0)</f>
        <v>0</v>
      </c>
      <c r="AE239" s="22">
        <f>IF(AQ239="7",BI239,0)</f>
        <v>0</v>
      </c>
      <c r="AF239" s="22">
        <f>IF(AQ239="2",BH239,0)</f>
        <v>0</v>
      </c>
      <c r="AG239" s="22">
        <f>IF(AQ239="2",BI239,0)</f>
        <v>0</v>
      </c>
      <c r="AH239" s="22">
        <f>IF(AQ239="0",BJ239,0)</f>
        <v>0</v>
      </c>
      <c r="AI239" s="34"/>
      <c r="AJ239" s="22">
        <f>IF(AN239=0,J239,0)</f>
        <v>0</v>
      </c>
      <c r="AK239" s="22">
        <f>IF(AN239=15,J239,0)</f>
        <v>0</v>
      </c>
      <c r="AL239" s="22">
        <f>IF(AN239=21,J239,0)</f>
        <v>0</v>
      </c>
      <c r="AN239" s="22">
        <v>21</v>
      </c>
      <c r="AO239" s="22">
        <f>G239*0</f>
        <v>0</v>
      </c>
      <c r="AP239" s="22">
        <f>G239*(1-0)</f>
        <v>0</v>
      </c>
      <c r="AQ239" s="23" t="s">
        <v>163</v>
      </c>
      <c r="AV239" s="22">
        <f>AW239+AX239</f>
        <v>0</v>
      </c>
      <c r="AW239" s="22">
        <f>F239*AO239</f>
        <v>0</v>
      </c>
      <c r="AX239" s="22">
        <f>F239*AP239</f>
        <v>0</v>
      </c>
      <c r="AY239" s="23" t="s">
        <v>525</v>
      </c>
      <c r="AZ239" s="23" t="s">
        <v>493</v>
      </c>
      <c r="BA239" s="34" t="s">
        <v>170</v>
      </c>
      <c r="BC239" s="22">
        <f>AW239+AX239</f>
        <v>0</v>
      </c>
      <c r="BD239" s="22">
        <f>G239/(100-BE239)*100</f>
        <v>0</v>
      </c>
      <c r="BE239" s="22">
        <v>0</v>
      </c>
      <c r="BF239" s="22">
        <f>239</f>
        <v>239</v>
      </c>
      <c r="BH239" s="22">
        <f>F239*AO239</f>
        <v>0</v>
      </c>
      <c r="BI239" s="22">
        <f>F239*AP239</f>
        <v>0</v>
      </c>
      <c r="BJ239" s="22">
        <f>F239*G239</f>
        <v>0</v>
      </c>
      <c r="BK239" s="22"/>
      <c r="BL239" s="22">
        <v>97</v>
      </c>
      <c r="BW239" s="22">
        <v>21</v>
      </c>
    </row>
    <row r="240" spans="1:11" ht="15" customHeight="1">
      <c r="A240" s="47"/>
      <c r="C240" s="48" t="s">
        <v>537</v>
      </c>
      <c r="D240" s="48" t="s">
        <v>317</v>
      </c>
      <c r="F240" s="49">
        <v>26.681400000000004</v>
      </c>
      <c r="K240" s="50"/>
    </row>
    <row r="241" spans="1:11" ht="15" customHeight="1">
      <c r="A241" s="47"/>
      <c r="C241" s="48" t="s">
        <v>538</v>
      </c>
      <c r="D241" s="48" t="s">
        <v>319</v>
      </c>
      <c r="F241" s="49">
        <v>36.660000000000004</v>
      </c>
      <c r="K241" s="50"/>
    </row>
    <row r="242" spans="1:11" ht="13.5" customHeight="1">
      <c r="A242" s="47"/>
      <c r="B242" s="51" t="s">
        <v>175</v>
      </c>
      <c r="C242" s="268" t="s">
        <v>527</v>
      </c>
      <c r="D242" s="268"/>
      <c r="E242" s="268"/>
      <c r="F242" s="268"/>
      <c r="G242" s="268"/>
      <c r="H242" s="268"/>
      <c r="I242" s="268"/>
      <c r="J242" s="268"/>
      <c r="K242" s="268"/>
    </row>
    <row r="243" spans="1:47" ht="15" customHeight="1">
      <c r="A243" s="42"/>
      <c r="B243" s="43" t="s">
        <v>113</v>
      </c>
      <c r="C243" s="267" t="s">
        <v>114</v>
      </c>
      <c r="D243" s="267"/>
      <c r="E243" s="44" t="s">
        <v>58</v>
      </c>
      <c r="F243" s="44" t="s">
        <v>58</v>
      </c>
      <c r="G243" s="44" t="s">
        <v>58</v>
      </c>
      <c r="H243" s="30">
        <f>SUM(H244:H244)</f>
        <v>0</v>
      </c>
      <c r="I243" s="30">
        <f>SUM(I244:I244)</f>
        <v>0</v>
      </c>
      <c r="J243" s="30">
        <f>SUM(J244:J244)</f>
        <v>0</v>
      </c>
      <c r="K243" s="45"/>
      <c r="AI243" s="34"/>
      <c r="AS243" s="30">
        <f>SUM(AJ244:AJ244)</f>
        <v>0</v>
      </c>
      <c r="AT243" s="30">
        <f>SUM(AK244:AK244)</f>
        <v>0</v>
      </c>
      <c r="AU243" s="30">
        <f>SUM(AL244:AL244)</f>
        <v>0</v>
      </c>
    </row>
    <row r="244" spans="1:75" ht="13.5" customHeight="1">
      <c r="A244" s="21" t="s">
        <v>539</v>
      </c>
      <c r="B244" s="3" t="s">
        <v>540</v>
      </c>
      <c r="C244" s="229" t="s">
        <v>541</v>
      </c>
      <c r="D244" s="229"/>
      <c r="E244" s="3" t="s">
        <v>323</v>
      </c>
      <c r="F244" s="22">
        <v>15.848</v>
      </c>
      <c r="G244" s="22">
        <v>0</v>
      </c>
      <c r="H244" s="22">
        <f>F244*AO244</f>
        <v>0</v>
      </c>
      <c r="I244" s="22">
        <f>F244*AP244</f>
        <v>0</v>
      </c>
      <c r="J244" s="22">
        <f>F244*G244</f>
        <v>0</v>
      </c>
      <c r="K244" s="46" t="s">
        <v>167</v>
      </c>
      <c r="Z244" s="22">
        <f>IF(AQ244="5",BJ244,0)</f>
        <v>0</v>
      </c>
      <c r="AB244" s="22">
        <f>IF(AQ244="1",BH244,0)</f>
        <v>0</v>
      </c>
      <c r="AC244" s="22">
        <f>IF(AQ244="1",BI244,0)</f>
        <v>0</v>
      </c>
      <c r="AD244" s="22">
        <f>IF(AQ244="7",BH244,0)</f>
        <v>0</v>
      </c>
      <c r="AE244" s="22">
        <f>IF(AQ244="7",BI244,0)</f>
        <v>0</v>
      </c>
      <c r="AF244" s="22">
        <f>IF(AQ244="2",BH244,0)</f>
        <v>0</v>
      </c>
      <c r="AG244" s="22">
        <f>IF(AQ244="2",BI244,0)</f>
        <v>0</v>
      </c>
      <c r="AH244" s="22">
        <f>IF(AQ244="0",BJ244,0)</f>
        <v>0</v>
      </c>
      <c r="AI244" s="34"/>
      <c r="AJ244" s="22">
        <f>IF(AN244=0,J244,0)</f>
        <v>0</v>
      </c>
      <c r="AK244" s="22">
        <f>IF(AN244=15,J244,0)</f>
        <v>0</v>
      </c>
      <c r="AL244" s="22">
        <f>IF(AN244=21,J244,0)</f>
        <v>0</v>
      </c>
      <c r="AN244" s="22">
        <v>21</v>
      </c>
      <c r="AO244" s="22">
        <f>G244*0</f>
        <v>0</v>
      </c>
      <c r="AP244" s="22">
        <f>G244*(1-0)</f>
        <v>0</v>
      </c>
      <c r="AQ244" s="23" t="s">
        <v>194</v>
      </c>
      <c r="AV244" s="22">
        <f>AW244+AX244</f>
        <v>0</v>
      </c>
      <c r="AW244" s="22">
        <f>F244*AO244</f>
        <v>0</v>
      </c>
      <c r="AX244" s="22">
        <f>F244*AP244</f>
        <v>0</v>
      </c>
      <c r="AY244" s="23" t="s">
        <v>542</v>
      </c>
      <c r="AZ244" s="23" t="s">
        <v>493</v>
      </c>
      <c r="BA244" s="34" t="s">
        <v>170</v>
      </c>
      <c r="BC244" s="22">
        <f>AW244+AX244</f>
        <v>0</v>
      </c>
      <c r="BD244" s="22">
        <f>G244/(100-BE244)*100</f>
        <v>0</v>
      </c>
      <c r="BE244" s="22">
        <v>0</v>
      </c>
      <c r="BF244" s="22">
        <f>244</f>
        <v>244</v>
      </c>
      <c r="BH244" s="22">
        <f>F244*AO244</f>
        <v>0</v>
      </c>
      <c r="BI244" s="22">
        <f>F244*AP244</f>
        <v>0</v>
      </c>
      <c r="BJ244" s="22">
        <f>F244*G244</f>
        <v>0</v>
      </c>
      <c r="BK244" s="22"/>
      <c r="BL244" s="22"/>
      <c r="BW244" s="22">
        <v>21</v>
      </c>
    </row>
    <row r="245" spans="1:11" ht="15" customHeight="1">
      <c r="A245" s="47"/>
      <c r="C245" s="48" t="s">
        <v>543</v>
      </c>
      <c r="D245" s="48"/>
      <c r="F245" s="49">
        <v>15.848</v>
      </c>
      <c r="K245" s="50"/>
    </row>
    <row r="246" spans="1:47" ht="15" customHeight="1">
      <c r="A246" s="42"/>
      <c r="B246" s="43" t="s">
        <v>115</v>
      </c>
      <c r="C246" s="267" t="s">
        <v>116</v>
      </c>
      <c r="D246" s="267"/>
      <c r="E246" s="44" t="s">
        <v>58</v>
      </c>
      <c r="F246" s="44" t="s">
        <v>58</v>
      </c>
      <c r="G246" s="44" t="s">
        <v>58</v>
      </c>
      <c r="H246" s="30">
        <f>SUM(H247:H247)</f>
        <v>0</v>
      </c>
      <c r="I246" s="30">
        <f>SUM(I247:I247)</f>
        <v>0</v>
      </c>
      <c r="J246" s="30">
        <f>SUM(J247:J247)</f>
        <v>0</v>
      </c>
      <c r="K246" s="45"/>
      <c r="AI246" s="34"/>
      <c r="AS246" s="30">
        <f>SUM(AJ247:AJ247)</f>
        <v>0</v>
      </c>
      <c r="AT246" s="30">
        <f>SUM(AK247:AK247)</f>
        <v>0</v>
      </c>
      <c r="AU246" s="30">
        <f>SUM(AL247:AL247)</f>
        <v>0</v>
      </c>
    </row>
    <row r="247" spans="1:75" ht="13.5" customHeight="1">
      <c r="A247" s="21" t="s">
        <v>544</v>
      </c>
      <c r="B247" s="3" t="s">
        <v>545</v>
      </c>
      <c r="C247" s="229" t="s">
        <v>546</v>
      </c>
      <c r="D247" s="229"/>
      <c r="E247" s="3" t="s">
        <v>395</v>
      </c>
      <c r="F247" s="22">
        <v>1</v>
      </c>
      <c r="G247" s="22">
        <f>Elektroinstalace!L32</f>
        <v>0</v>
      </c>
      <c r="H247" s="22">
        <f>F247*AO247</f>
        <v>0</v>
      </c>
      <c r="I247" s="22">
        <f>F247*AP247</f>
        <v>0</v>
      </c>
      <c r="J247" s="22">
        <f>F247*G247</f>
        <v>0</v>
      </c>
      <c r="K247" s="46"/>
      <c r="Z247" s="22">
        <f>IF(AQ247="5",BJ247,0)</f>
        <v>0</v>
      </c>
      <c r="AB247" s="22">
        <f>IF(AQ247="1",BH247,0)</f>
        <v>0</v>
      </c>
      <c r="AC247" s="22">
        <f>IF(AQ247="1",BI247,0)</f>
        <v>0</v>
      </c>
      <c r="AD247" s="22">
        <f>IF(AQ247="7",BH247,0)</f>
        <v>0</v>
      </c>
      <c r="AE247" s="22">
        <f>IF(AQ247="7",BI247,0)</f>
        <v>0</v>
      </c>
      <c r="AF247" s="22">
        <f>IF(AQ247="2",BH247,0)</f>
        <v>0</v>
      </c>
      <c r="AG247" s="22">
        <f>IF(AQ247="2",BI247,0)</f>
        <v>0</v>
      </c>
      <c r="AH247" s="22">
        <f>IF(AQ247="0",BJ247,0)</f>
        <v>0</v>
      </c>
      <c r="AI247" s="34"/>
      <c r="AJ247" s="22">
        <f>IF(AN247=0,J247,0)</f>
        <v>0</v>
      </c>
      <c r="AK247" s="22">
        <f>IF(AN247=15,J247,0)</f>
        <v>0</v>
      </c>
      <c r="AL247" s="22">
        <f>IF(AN247=21,J247,0)</f>
        <v>0</v>
      </c>
      <c r="AN247" s="22">
        <v>21</v>
      </c>
      <c r="AO247" s="22">
        <f>G247*0</f>
        <v>0</v>
      </c>
      <c r="AP247" s="22">
        <f>G247*(1-0)</f>
        <v>0</v>
      </c>
      <c r="AQ247" s="23" t="s">
        <v>177</v>
      </c>
      <c r="AV247" s="22">
        <f>AW247+AX247</f>
        <v>0</v>
      </c>
      <c r="AW247" s="22">
        <f>F247*AO247</f>
        <v>0</v>
      </c>
      <c r="AX247" s="22">
        <f>F247*AP247</f>
        <v>0</v>
      </c>
      <c r="AY247" s="23" t="s">
        <v>547</v>
      </c>
      <c r="AZ247" s="23" t="s">
        <v>493</v>
      </c>
      <c r="BA247" s="34" t="s">
        <v>170</v>
      </c>
      <c r="BC247" s="22">
        <f>AW247+AX247</f>
        <v>0</v>
      </c>
      <c r="BD247" s="22">
        <f>G247/(100-BE247)*100</f>
        <v>0</v>
      </c>
      <c r="BE247" s="22">
        <v>0</v>
      </c>
      <c r="BF247" s="22">
        <f>247</f>
        <v>247</v>
      </c>
      <c r="BH247" s="22">
        <f>F247*AO247</f>
        <v>0</v>
      </c>
      <c r="BI247" s="22">
        <f>F247*AP247</f>
        <v>0</v>
      </c>
      <c r="BJ247" s="22">
        <f>F247*G247</f>
        <v>0</v>
      </c>
      <c r="BK247" s="22"/>
      <c r="BL247" s="22"/>
      <c r="BW247" s="22">
        <v>21</v>
      </c>
    </row>
    <row r="248" spans="1:11" ht="15" customHeight="1">
      <c r="A248" s="47"/>
      <c r="C248" s="48" t="s">
        <v>163</v>
      </c>
      <c r="D248" s="48"/>
      <c r="F248" s="49">
        <v>1</v>
      </c>
      <c r="K248" s="50"/>
    </row>
    <row r="249" spans="1:47" s="1" customFormat="1" ht="15" customHeight="1">
      <c r="A249" s="52"/>
      <c r="B249" s="53" t="s">
        <v>117</v>
      </c>
      <c r="C249" s="269" t="s">
        <v>118</v>
      </c>
      <c r="D249" s="269"/>
      <c r="E249" s="54" t="s">
        <v>58</v>
      </c>
      <c r="F249" s="54" t="s">
        <v>58</v>
      </c>
      <c r="G249" s="54" t="s">
        <v>58</v>
      </c>
      <c r="H249" s="55">
        <f>SUM(H250:H254)</f>
        <v>0</v>
      </c>
      <c r="I249" s="55">
        <f>SUM(I250:I254)</f>
        <v>0</v>
      </c>
      <c r="J249" s="55">
        <f>SUM(J250:J254)</f>
        <v>0</v>
      </c>
      <c r="K249" s="56"/>
      <c r="AI249" s="57"/>
      <c r="AS249" s="55">
        <f>SUM(AJ250:AJ254)</f>
        <v>0</v>
      </c>
      <c r="AT249" s="55">
        <f>SUM(AK250:AK254)</f>
        <v>0</v>
      </c>
      <c r="AU249" s="55">
        <f>SUM(AL250:AL254)</f>
        <v>0</v>
      </c>
    </row>
    <row r="250" spans="1:75" s="1" customFormat="1" ht="13.5" customHeight="1">
      <c r="A250" s="24" t="s">
        <v>548</v>
      </c>
      <c r="B250" s="25" t="s">
        <v>549</v>
      </c>
      <c r="C250" s="270" t="s">
        <v>550</v>
      </c>
      <c r="D250" s="270"/>
      <c r="E250" s="25" t="s">
        <v>215</v>
      </c>
      <c r="F250" s="26">
        <v>489</v>
      </c>
      <c r="G250" s="26">
        <v>0</v>
      </c>
      <c r="H250" s="26">
        <f>F250*AO250</f>
        <v>0</v>
      </c>
      <c r="I250" s="26">
        <f>F250*AP250</f>
        <v>0</v>
      </c>
      <c r="J250" s="26">
        <f>F250*G250</f>
        <v>0</v>
      </c>
      <c r="K250" s="58" t="s">
        <v>167</v>
      </c>
      <c r="Z250" s="26">
        <f>IF(AQ250="5",BJ250,0)</f>
        <v>0</v>
      </c>
      <c r="AB250" s="26">
        <f>IF(AQ250="1",BH250,0)</f>
        <v>0</v>
      </c>
      <c r="AC250" s="26">
        <f>IF(AQ250="1",BI250,0)</f>
        <v>0</v>
      </c>
      <c r="AD250" s="26">
        <f>IF(AQ250="7",BH250,0)</f>
        <v>0</v>
      </c>
      <c r="AE250" s="26">
        <f>IF(AQ250="7",BI250,0)</f>
        <v>0</v>
      </c>
      <c r="AF250" s="26">
        <f>IF(AQ250="2",BH250,0)</f>
        <v>0</v>
      </c>
      <c r="AG250" s="26">
        <f>IF(AQ250="2",BI250,0)</f>
        <v>0</v>
      </c>
      <c r="AH250" s="26">
        <f>IF(AQ250="0",BJ250,0)</f>
        <v>0</v>
      </c>
      <c r="AI250" s="57"/>
      <c r="AJ250" s="26">
        <f>IF(AN250=0,J250,0)</f>
        <v>0</v>
      </c>
      <c r="AK250" s="26">
        <f>IF(AN250=12,J250,0)</f>
        <v>0</v>
      </c>
      <c r="AL250" s="26">
        <f>IF(AN250=21,J250,0)</f>
        <v>0</v>
      </c>
      <c r="AN250" s="26">
        <v>21</v>
      </c>
      <c r="AO250" s="26">
        <f>G250*0</f>
        <v>0</v>
      </c>
      <c r="AP250" s="26">
        <f>G250*(1-0)</f>
        <v>0</v>
      </c>
      <c r="AQ250" s="27" t="s">
        <v>177</v>
      </c>
      <c r="AV250" s="26">
        <f>AW250+AX250</f>
        <v>0</v>
      </c>
      <c r="AW250" s="26">
        <f>F250*AO250</f>
        <v>0</v>
      </c>
      <c r="AX250" s="26">
        <f>F250*AP250</f>
        <v>0</v>
      </c>
      <c r="AY250" s="27" t="s">
        <v>551</v>
      </c>
      <c r="AZ250" s="27" t="s">
        <v>493</v>
      </c>
      <c r="BA250" s="57" t="s">
        <v>170</v>
      </c>
      <c r="BC250" s="26">
        <f>AW250+AX250</f>
        <v>0</v>
      </c>
      <c r="BD250" s="26">
        <f>G250/(100-BE250)*100</f>
        <v>0</v>
      </c>
      <c r="BE250" s="26">
        <v>0</v>
      </c>
      <c r="BF250" s="26">
        <f>250</f>
        <v>250</v>
      </c>
      <c r="BH250" s="26">
        <f>F250*AO250</f>
        <v>0</v>
      </c>
      <c r="BI250" s="26">
        <f>F250*AP250</f>
        <v>0</v>
      </c>
      <c r="BJ250" s="26">
        <f>F250*G250</f>
        <v>0</v>
      </c>
      <c r="BK250" s="26"/>
      <c r="BL250" s="26"/>
      <c r="BW250" s="26">
        <v>21</v>
      </c>
    </row>
    <row r="251" spans="1:11" s="1" customFormat="1" ht="15" customHeight="1">
      <c r="A251" s="47"/>
      <c r="C251" s="59" t="s">
        <v>552</v>
      </c>
      <c r="D251" s="59" t="s">
        <v>553</v>
      </c>
      <c r="F251" s="60">
        <v>489.00000000000006</v>
      </c>
      <c r="K251" s="50"/>
    </row>
    <row r="252" spans="1:75" s="1" customFormat="1" ht="13.5" customHeight="1">
      <c r="A252" s="24" t="s">
        <v>554</v>
      </c>
      <c r="B252" s="25" t="s">
        <v>555</v>
      </c>
      <c r="C252" s="270" t="s">
        <v>556</v>
      </c>
      <c r="D252" s="270"/>
      <c r="E252" s="25" t="s">
        <v>215</v>
      </c>
      <c r="F252" s="26">
        <v>450</v>
      </c>
      <c r="G252" s="26">
        <v>0</v>
      </c>
      <c r="H252" s="26">
        <f>F252*AO252</f>
        <v>0</v>
      </c>
      <c r="I252" s="26">
        <f>F252*AP252</f>
        <v>0</v>
      </c>
      <c r="J252" s="26">
        <f>F252*G252</f>
        <v>0</v>
      </c>
      <c r="K252" s="58" t="s">
        <v>167</v>
      </c>
      <c r="Z252" s="26">
        <f>IF(AQ252="5",BJ252,0)</f>
        <v>0</v>
      </c>
      <c r="AB252" s="26">
        <f>IF(AQ252="1",BH252,0)</f>
        <v>0</v>
      </c>
      <c r="AC252" s="26">
        <f>IF(AQ252="1",BI252,0)</f>
        <v>0</v>
      </c>
      <c r="AD252" s="26">
        <f>IF(AQ252="7",BH252,0)</f>
        <v>0</v>
      </c>
      <c r="AE252" s="26">
        <f>IF(AQ252="7",BI252,0)</f>
        <v>0</v>
      </c>
      <c r="AF252" s="26">
        <f>IF(AQ252="2",BH252,0)</f>
        <v>0</v>
      </c>
      <c r="AG252" s="26">
        <f>IF(AQ252="2",BI252,0)</f>
        <v>0</v>
      </c>
      <c r="AH252" s="26">
        <f>IF(AQ252="0",BJ252,0)</f>
        <v>0</v>
      </c>
      <c r="AI252" s="57"/>
      <c r="AJ252" s="26">
        <f>IF(AN252=0,J252,0)</f>
        <v>0</v>
      </c>
      <c r="AK252" s="26">
        <f>IF(AN252=12,J252,0)</f>
        <v>0</v>
      </c>
      <c r="AL252" s="26">
        <f>IF(AN252=21,J252,0)</f>
        <v>0</v>
      </c>
      <c r="AN252" s="26">
        <v>21</v>
      </c>
      <c r="AO252" s="26">
        <f>G252*0.131274131274131</f>
        <v>0</v>
      </c>
      <c r="AP252" s="26">
        <f>G252*(1-0.131274131274131)</f>
        <v>0</v>
      </c>
      <c r="AQ252" s="27" t="s">
        <v>177</v>
      </c>
      <c r="AV252" s="26">
        <f>AW252+AX252</f>
        <v>0</v>
      </c>
      <c r="AW252" s="26">
        <f>F252*AO252</f>
        <v>0</v>
      </c>
      <c r="AX252" s="26">
        <f>F252*AP252</f>
        <v>0</v>
      </c>
      <c r="AY252" s="27" t="s">
        <v>551</v>
      </c>
      <c r="AZ252" s="27" t="s">
        <v>493</v>
      </c>
      <c r="BA252" s="57" t="s">
        <v>170</v>
      </c>
      <c r="BC252" s="26">
        <f>AW252+AX252</f>
        <v>0</v>
      </c>
      <c r="BD252" s="26">
        <f>G252/(100-BE252)*100</f>
        <v>0</v>
      </c>
      <c r="BE252" s="26">
        <v>0</v>
      </c>
      <c r="BF252" s="26">
        <f>252</f>
        <v>252</v>
      </c>
      <c r="BH252" s="26">
        <f>F252*AO252</f>
        <v>0</v>
      </c>
      <c r="BI252" s="26">
        <f>F252*AP252</f>
        <v>0</v>
      </c>
      <c r="BJ252" s="26">
        <f>F252*G252</f>
        <v>0</v>
      </c>
      <c r="BK252" s="26"/>
      <c r="BL252" s="26"/>
      <c r="BW252" s="26">
        <v>21</v>
      </c>
    </row>
    <row r="253" spans="1:11" s="1" customFormat="1" ht="15" customHeight="1">
      <c r="A253" s="47"/>
      <c r="C253" s="59" t="s">
        <v>557</v>
      </c>
      <c r="D253" s="59"/>
      <c r="F253" s="60">
        <v>450.00000000000006</v>
      </c>
      <c r="K253" s="50"/>
    </row>
    <row r="254" spans="1:75" s="1" customFormat="1" ht="13.5" customHeight="1">
      <c r="A254" s="24" t="s">
        <v>558</v>
      </c>
      <c r="B254" s="25" t="s">
        <v>559</v>
      </c>
      <c r="C254" s="270" t="s">
        <v>560</v>
      </c>
      <c r="D254" s="270"/>
      <c r="E254" s="25" t="s">
        <v>215</v>
      </c>
      <c r="F254" s="26">
        <v>39</v>
      </c>
      <c r="G254" s="26">
        <v>0</v>
      </c>
      <c r="H254" s="26">
        <f>F254*AO254</f>
        <v>0</v>
      </c>
      <c r="I254" s="26">
        <f>F254*AP254</f>
        <v>0</v>
      </c>
      <c r="J254" s="26">
        <f>F254*G254</f>
        <v>0</v>
      </c>
      <c r="K254" s="58" t="s">
        <v>167</v>
      </c>
      <c r="Z254" s="26">
        <f>IF(AQ254="5",BJ254,0)</f>
        <v>0</v>
      </c>
      <c r="AB254" s="26">
        <f>IF(AQ254="1",BH254,0)</f>
        <v>0</v>
      </c>
      <c r="AC254" s="26">
        <f>IF(AQ254="1",BI254,0)</f>
        <v>0</v>
      </c>
      <c r="AD254" s="26">
        <f>IF(AQ254="7",BH254,0)</f>
        <v>0</v>
      </c>
      <c r="AE254" s="26">
        <f>IF(AQ254="7",BI254,0)</f>
        <v>0</v>
      </c>
      <c r="AF254" s="26">
        <f>IF(AQ254="2",BH254,0)</f>
        <v>0</v>
      </c>
      <c r="AG254" s="26">
        <f>IF(AQ254="2",BI254,0)</f>
        <v>0</v>
      </c>
      <c r="AH254" s="26">
        <f>IF(AQ254="0",BJ254,0)</f>
        <v>0</v>
      </c>
      <c r="AI254" s="57"/>
      <c r="AJ254" s="26">
        <f>IF(AN254=0,J254,0)</f>
        <v>0</v>
      </c>
      <c r="AK254" s="26">
        <f>IF(AN254=12,J254,0)</f>
        <v>0</v>
      </c>
      <c r="AL254" s="26">
        <f>IF(AN254=21,J254,0)</f>
        <v>0</v>
      </c>
      <c r="AN254" s="26">
        <v>21</v>
      </c>
      <c r="AO254" s="26">
        <f>G254*0.659319958557031</f>
        <v>0</v>
      </c>
      <c r="AP254" s="26">
        <f>G254*(1-0.659319958557031)</f>
        <v>0</v>
      </c>
      <c r="AQ254" s="27" t="s">
        <v>177</v>
      </c>
      <c r="AV254" s="26">
        <f>AW254+AX254</f>
        <v>0</v>
      </c>
      <c r="AW254" s="26">
        <f>F254*AO254</f>
        <v>0</v>
      </c>
      <c r="AX254" s="26">
        <f>F254*AP254</f>
        <v>0</v>
      </c>
      <c r="AY254" s="27" t="s">
        <v>551</v>
      </c>
      <c r="AZ254" s="27" t="s">
        <v>493</v>
      </c>
      <c r="BA254" s="57" t="s">
        <v>170</v>
      </c>
      <c r="BC254" s="26">
        <f>AW254+AX254</f>
        <v>0</v>
      </c>
      <c r="BD254" s="26">
        <f>G254/(100-BE254)*100</f>
        <v>0</v>
      </c>
      <c r="BE254" s="26">
        <v>0</v>
      </c>
      <c r="BF254" s="26">
        <f>254</f>
        <v>254</v>
      </c>
      <c r="BH254" s="26">
        <f>F254*AO254</f>
        <v>0</v>
      </c>
      <c r="BI254" s="26">
        <f>F254*AP254</f>
        <v>0</v>
      </c>
      <c r="BJ254" s="26">
        <f>F254*G254</f>
        <v>0</v>
      </c>
      <c r="BK254" s="26"/>
      <c r="BL254" s="26"/>
      <c r="BW254" s="26">
        <v>21</v>
      </c>
    </row>
    <row r="255" spans="1:11" s="1" customFormat="1" ht="15" customHeight="1">
      <c r="A255" s="47"/>
      <c r="C255" s="59" t="s">
        <v>561</v>
      </c>
      <c r="D255" s="59" t="s">
        <v>562</v>
      </c>
      <c r="F255" s="60">
        <v>39</v>
      </c>
      <c r="K255" s="50"/>
    </row>
    <row r="256" spans="1:47" ht="15" customHeight="1">
      <c r="A256" s="42"/>
      <c r="B256" s="43" t="s">
        <v>119</v>
      </c>
      <c r="C256" s="267" t="s">
        <v>120</v>
      </c>
      <c r="D256" s="267"/>
      <c r="E256" s="44" t="s">
        <v>58</v>
      </c>
      <c r="F256" s="44" t="s">
        <v>58</v>
      </c>
      <c r="G256" s="44" t="s">
        <v>58</v>
      </c>
      <c r="H256" s="30">
        <f>SUM(H257:H268)</f>
        <v>0</v>
      </c>
      <c r="I256" s="30">
        <f>SUM(I257:I268)</f>
        <v>0</v>
      </c>
      <c r="J256" s="30">
        <f>SUM(J257:J268)</f>
        <v>0</v>
      </c>
      <c r="K256" s="45"/>
      <c r="AI256" s="34"/>
      <c r="AS256" s="30">
        <f>SUM(AJ257:AJ268)</f>
        <v>0</v>
      </c>
      <c r="AT256" s="30">
        <f>SUM(AK257:AK268)</f>
        <v>0</v>
      </c>
      <c r="AU256" s="30">
        <f>SUM(AL257:AL268)</f>
        <v>0</v>
      </c>
    </row>
    <row r="257" spans="1:75" ht="13.5" customHeight="1">
      <c r="A257" s="21">
        <v>73</v>
      </c>
      <c r="B257" s="3" t="s">
        <v>321</v>
      </c>
      <c r="C257" s="229" t="s">
        <v>322</v>
      </c>
      <c r="D257" s="229"/>
      <c r="E257" s="3" t="s">
        <v>323</v>
      </c>
      <c r="F257" s="22">
        <v>20.152</v>
      </c>
      <c r="G257" s="22">
        <v>0</v>
      </c>
      <c r="H257" s="22">
        <f>F257*AO257</f>
        <v>0</v>
      </c>
      <c r="I257" s="22">
        <f>F257*AP257</f>
        <v>0</v>
      </c>
      <c r="J257" s="22">
        <f>F257*G257</f>
        <v>0</v>
      </c>
      <c r="K257" s="46" t="s">
        <v>167</v>
      </c>
      <c r="Z257" s="22">
        <f>IF(AQ257="5",BJ257,0)</f>
        <v>0</v>
      </c>
      <c r="AB257" s="22">
        <f>IF(AQ257="1",BH257,0)</f>
        <v>0</v>
      </c>
      <c r="AC257" s="22">
        <f>IF(AQ257="1",BI257,0)</f>
        <v>0</v>
      </c>
      <c r="AD257" s="22">
        <f>IF(AQ257="7",BH257,0)</f>
        <v>0</v>
      </c>
      <c r="AE257" s="22">
        <f>IF(AQ257="7",BI257,0)</f>
        <v>0</v>
      </c>
      <c r="AF257" s="22">
        <f>IF(AQ257="2",BH257,0)</f>
        <v>0</v>
      </c>
      <c r="AG257" s="22">
        <f>IF(AQ257="2",BI257,0)</f>
        <v>0</v>
      </c>
      <c r="AH257" s="22">
        <f>IF(AQ257="0",BJ257,0)</f>
        <v>0</v>
      </c>
      <c r="AI257" s="34"/>
      <c r="AJ257" s="22">
        <f>IF(AN257=0,J257,0)</f>
        <v>0</v>
      </c>
      <c r="AK257" s="22">
        <f>IF(AN257=15,J257,0)</f>
        <v>0</v>
      </c>
      <c r="AL257" s="22">
        <f>IF(AN257=21,J257,0)</f>
        <v>0</v>
      </c>
      <c r="AN257" s="22">
        <v>21</v>
      </c>
      <c r="AO257" s="22">
        <f>G257*0</f>
        <v>0</v>
      </c>
      <c r="AP257" s="22">
        <f>G257*(1-0)</f>
        <v>0</v>
      </c>
      <c r="AQ257" s="23" t="s">
        <v>194</v>
      </c>
      <c r="AV257" s="22">
        <f>AW257+AX257</f>
        <v>0</v>
      </c>
      <c r="AW257" s="22">
        <f>F257*AO257</f>
        <v>0</v>
      </c>
      <c r="AX257" s="22">
        <f>F257*AP257</f>
        <v>0</v>
      </c>
      <c r="AY257" s="23" t="s">
        <v>563</v>
      </c>
      <c r="AZ257" s="23" t="s">
        <v>493</v>
      </c>
      <c r="BA257" s="34" t="s">
        <v>170</v>
      </c>
      <c r="BC257" s="22">
        <f>AW257+AX257</f>
        <v>0</v>
      </c>
      <c r="BD257" s="22">
        <f>G257/(100-BE257)*100</f>
        <v>0</v>
      </c>
      <c r="BE257" s="22">
        <v>0</v>
      </c>
      <c r="BF257" s="22">
        <f>250</f>
        <v>250</v>
      </c>
      <c r="BH257" s="22">
        <f>F257*AO257</f>
        <v>0</v>
      </c>
      <c r="BI257" s="22">
        <f>F257*AP257</f>
        <v>0</v>
      </c>
      <c r="BJ257" s="22">
        <f>F257*G257</f>
        <v>0</v>
      </c>
      <c r="BK257" s="22"/>
      <c r="BL257" s="22"/>
      <c r="BW257" s="22">
        <v>21</v>
      </c>
    </row>
    <row r="258" spans="1:11" ht="15" customHeight="1">
      <c r="A258" s="47"/>
      <c r="C258" s="48" t="s">
        <v>564</v>
      </c>
      <c r="D258" s="48"/>
      <c r="F258" s="49">
        <v>20.152</v>
      </c>
      <c r="K258" s="50"/>
    </row>
    <row r="259" spans="1:11" ht="27" customHeight="1">
      <c r="A259" s="47"/>
      <c r="B259" s="51" t="s">
        <v>175</v>
      </c>
      <c r="C259" s="268" t="s">
        <v>325</v>
      </c>
      <c r="D259" s="268"/>
      <c r="E259" s="268"/>
      <c r="F259" s="268"/>
      <c r="G259" s="268"/>
      <c r="H259" s="268"/>
      <c r="I259" s="268"/>
      <c r="J259" s="268"/>
      <c r="K259" s="268"/>
    </row>
    <row r="260" spans="1:75" ht="13.5" customHeight="1">
      <c r="A260" s="21">
        <v>74</v>
      </c>
      <c r="B260" s="3" t="s">
        <v>327</v>
      </c>
      <c r="C260" s="229" t="s">
        <v>328</v>
      </c>
      <c r="D260" s="229"/>
      <c r="E260" s="3" t="s">
        <v>323</v>
      </c>
      <c r="F260" s="22">
        <v>20.152</v>
      </c>
      <c r="G260" s="22">
        <v>0</v>
      </c>
      <c r="H260" s="22">
        <f>F260*AO260</f>
        <v>0</v>
      </c>
      <c r="I260" s="22">
        <f>F260*AP260</f>
        <v>0</v>
      </c>
      <c r="J260" s="22">
        <f>F260*G260</f>
        <v>0</v>
      </c>
      <c r="K260" s="46" t="s">
        <v>167</v>
      </c>
      <c r="Z260" s="22">
        <f>IF(AQ260="5",BJ260,0)</f>
        <v>0</v>
      </c>
      <c r="AB260" s="22">
        <f>IF(AQ260="1",BH260,0)</f>
        <v>0</v>
      </c>
      <c r="AC260" s="22">
        <f>IF(AQ260="1",BI260,0)</f>
        <v>0</v>
      </c>
      <c r="AD260" s="22">
        <f>IF(AQ260="7",BH260,0)</f>
        <v>0</v>
      </c>
      <c r="AE260" s="22">
        <f>IF(AQ260="7",BI260,0)</f>
        <v>0</v>
      </c>
      <c r="AF260" s="22">
        <f>IF(AQ260="2",BH260,0)</f>
        <v>0</v>
      </c>
      <c r="AG260" s="22">
        <f>IF(AQ260="2",BI260,0)</f>
        <v>0</v>
      </c>
      <c r="AH260" s="22">
        <f>IF(AQ260="0",BJ260,0)</f>
        <v>0</v>
      </c>
      <c r="AI260" s="34"/>
      <c r="AJ260" s="22">
        <f>IF(AN260=0,J260,0)</f>
        <v>0</v>
      </c>
      <c r="AK260" s="22">
        <f>IF(AN260=15,J260,0)</f>
        <v>0</v>
      </c>
      <c r="AL260" s="22">
        <f>IF(AN260=21,J260,0)</f>
        <v>0</v>
      </c>
      <c r="AN260" s="22">
        <v>21</v>
      </c>
      <c r="AO260" s="22">
        <f>G260*0</f>
        <v>0</v>
      </c>
      <c r="AP260" s="22">
        <f>G260*(1-0)</f>
        <v>0</v>
      </c>
      <c r="AQ260" s="23" t="s">
        <v>194</v>
      </c>
      <c r="AV260" s="22">
        <f>AW260+AX260</f>
        <v>0</v>
      </c>
      <c r="AW260" s="22">
        <f>F260*AO260</f>
        <v>0</v>
      </c>
      <c r="AX260" s="22">
        <f>F260*AP260</f>
        <v>0</v>
      </c>
      <c r="AY260" s="23" t="s">
        <v>563</v>
      </c>
      <c r="AZ260" s="23" t="s">
        <v>493</v>
      </c>
      <c r="BA260" s="34" t="s">
        <v>170</v>
      </c>
      <c r="BC260" s="22">
        <f>AW260+AX260</f>
        <v>0</v>
      </c>
      <c r="BD260" s="22">
        <f>G260/(100-BE260)*100</f>
        <v>0</v>
      </c>
      <c r="BE260" s="22">
        <v>0</v>
      </c>
      <c r="BF260" s="22">
        <f>253</f>
        <v>253</v>
      </c>
      <c r="BH260" s="22">
        <f>F260*AO260</f>
        <v>0</v>
      </c>
      <c r="BI260" s="22">
        <f>F260*AP260</f>
        <v>0</v>
      </c>
      <c r="BJ260" s="22">
        <f>F260*G260</f>
        <v>0</v>
      </c>
      <c r="BK260" s="22"/>
      <c r="BL260" s="22"/>
      <c r="BW260" s="22">
        <v>21</v>
      </c>
    </row>
    <row r="261" spans="1:11" ht="15" customHeight="1">
      <c r="A261" s="47"/>
      <c r="C261" s="48" t="s">
        <v>565</v>
      </c>
      <c r="D261" s="48"/>
      <c r="F261" s="49">
        <v>20.152</v>
      </c>
      <c r="K261" s="50"/>
    </row>
    <row r="262" spans="1:11" ht="13.5" customHeight="1">
      <c r="A262" s="47"/>
      <c r="B262" s="51" t="s">
        <v>175</v>
      </c>
      <c r="C262" s="268" t="s">
        <v>329</v>
      </c>
      <c r="D262" s="268"/>
      <c r="E262" s="268"/>
      <c r="F262" s="268"/>
      <c r="G262" s="268"/>
      <c r="H262" s="268"/>
      <c r="I262" s="268"/>
      <c r="J262" s="268"/>
      <c r="K262" s="268"/>
    </row>
    <row r="263" spans="1:75" ht="13.5" customHeight="1">
      <c r="A263" s="21">
        <v>75</v>
      </c>
      <c r="B263" s="3" t="s">
        <v>331</v>
      </c>
      <c r="C263" s="229" t="s">
        <v>332</v>
      </c>
      <c r="D263" s="229"/>
      <c r="E263" s="3" t="s">
        <v>323</v>
      </c>
      <c r="F263" s="22">
        <v>20.152</v>
      </c>
      <c r="G263" s="22">
        <v>0</v>
      </c>
      <c r="H263" s="22">
        <f>F263*AO263</f>
        <v>0</v>
      </c>
      <c r="I263" s="22">
        <f>F263*AP263</f>
        <v>0</v>
      </c>
      <c r="J263" s="22">
        <f>F263*G263</f>
        <v>0</v>
      </c>
      <c r="K263" s="46" t="s">
        <v>167</v>
      </c>
      <c r="Z263" s="22">
        <f>IF(AQ263="5",BJ263,0)</f>
        <v>0</v>
      </c>
      <c r="AB263" s="22">
        <f>IF(AQ263="1",BH263,0)</f>
        <v>0</v>
      </c>
      <c r="AC263" s="22">
        <f>IF(AQ263="1",BI263,0)</f>
        <v>0</v>
      </c>
      <c r="AD263" s="22">
        <f>IF(AQ263="7",BH263,0)</f>
        <v>0</v>
      </c>
      <c r="AE263" s="22">
        <f>IF(AQ263="7",BI263,0)</f>
        <v>0</v>
      </c>
      <c r="AF263" s="22">
        <f>IF(AQ263="2",BH263,0)</f>
        <v>0</v>
      </c>
      <c r="AG263" s="22">
        <f>IF(AQ263="2",BI263,0)</f>
        <v>0</v>
      </c>
      <c r="AH263" s="22">
        <f>IF(AQ263="0",BJ263,0)</f>
        <v>0</v>
      </c>
      <c r="AI263" s="34"/>
      <c r="AJ263" s="22">
        <f>IF(AN263=0,J263,0)</f>
        <v>0</v>
      </c>
      <c r="AK263" s="22">
        <f>IF(AN263=15,J263,0)</f>
        <v>0</v>
      </c>
      <c r="AL263" s="22">
        <f>IF(AN263=21,J263,0)</f>
        <v>0</v>
      </c>
      <c r="AN263" s="22">
        <v>21</v>
      </c>
      <c r="AO263" s="22">
        <f>G263*0.014251281140249</f>
        <v>0</v>
      </c>
      <c r="AP263" s="22">
        <f>G263*(1-0.014251281140249)</f>
        <v>0</v>
      </c>
      <c r="AQ263" s="23" t="s">
        <v>194</v>
      </c>
      <c r="AV263" s="22">
        <f>AW263+AX263</f>
        <v>0</v>
      </c>
      <c r="AW263" s="22">
        <f>F263*AO263</f>
        <v>0</v>
      </c>
      <c r="AX263" s="22">
        <f>F263*AP263</f>
        <v>0</v>
      </c>
      <c r="AY263" s="23" t="s">
        <v>563</v>
      </c>
      <c r="AZ263" s="23" t="s">
        <v>493</v>
      </c>
      <c r="BA263" s="34" t="s">
        <v>170</v>
      </c>
      <c r="BC263" s="22">
        <f>AW263+AX263</f>
        <v>0</v>
      </c>
      <c r="BD263" s="22">
        <f>G263/(100-BE263)*100</f>
        <v>0</v>
      </c>
      <c r="BE263" s="22">
        <v>0</v>
      </c>
      <c r="BF263" s="22">
        <f>256</f>
        <v>256</v>
      </c>
      <c r="BH263" s="22">
        <f>F263*AO263</f>
        <v>0</v>
      </c>
      <c r="BI263" s="22">
        <f>F263*AP263</f>
        <v>0</v>
      </c>
      <c r="BJ263" s="22">
        <f>F263*G263</f>
        <v>0</v>
      </c>
      <c r="BK263" s="22"/>
      <c r="BL263" s="22"/>
      <c r="BW263" s="22">
        <v>21</v>
      </c>
    </row>
    <row r="264" spans="1:11" ht="15" customHeight="1">
      <c r="A264" s="47"/>
      <c r="C264" s="48" t="s">
        <v>565</v>
      </c>
      <c r="D264" s="48"/>
      <c r="F264" s="49">
        <v>20.152</v>
      </c>
      <c r="K264" s="50"/>
    </row>
    <row r="265" spans="1:11" ht="13.5" customHeight="1">
      <c r="A265" s="47"/>
      <c r="B265" s="51" t="s">
        <v>175</v>
      </c>
      <c r="C265" s="268" t="s">
        <v>333</v>
      </c>
      <c r="D265" s="268"/>
      <c r="E265" s="268"/>
      <c r="F265" s="268"/>
      <c r="G265" s="268"/>
      <c r="H265" s="268"/>
      <c r="I265" s="268"/>
      <c r="J265" s="268"/>
      <c r="K265" s="268"/>
    </row>
    <row r="266" spans="1:75" ht="13.5" customHeight="1">
      <c r="A266" s="21">
        <v>76</v>
      </c>
      <c r="B266" s="3" t="s">
        <v>566</v>
      </c>
      <c r="C266" s="229" t="s">
        <v>567</v>
      </c>
      <c r="D266" s="229"/>
      <c r="E266" s="3" t="s">
        <v>323</v>
      </c>
      <c r="F266" s="22">
        <v>20.152</v>
      </c>
      <c r="G266" s="22">
        <v>0</v>
      </c>
      <c r="H266" s="22">
        <f>F266*AO266</f>
        <v>0</v>
      </c>
      <c r="I266" s="22">
        <f>F266*AP266</f>
        <v>0</v>
      </c>
      <c r="J266" s="22">
        <f>F266*G266</f>
        <v>0</v>
      </c>
      <c r="K266" s="46" t="s">
        <v>167</v>
      </c>
      <c r="Z266" s="22">
        <f>IF(AQ266="5",BJ266,0)</f>
        <v>0</v>
      </c>
      <c r="AB266" s="22">
        <f>IF(AQ266="1",BH266,0)</f>
        <v>0</v>
      </c>
      <c r="AC266" s="22">
        <f>IF(AQ266="1",BI266,0)</f>
        <v>0</v>
      </c>
      <c r="AD266" s="22">
        <f>IF(AQ266="7",BH266,0)</f>
        <v>0</v>
      </c>
      <c r="AE266" s="22">
        <f>IF(AQ266="7",BI266,0)</f>
        <v>0</v>
      </c>
      <c r="AF266" s="22">
        <f>IF(AQ266="2",BH266,0)</f>
        <v>0</v>
      </c>
      <c r="AG266" s="22">
        <f>IF(AQ266="2",BI266,0)</f>
        <v>0</v>
      </c>
      <c r="AH266" s="22">
        <f>IF(AQ266="0",BJ266,0)</f>
        <v>0</v>
      </c>
      <c r="AI266" s="34"/>
      <c r="AJ266" s="22">
        <f>IF(AN266=0,J266,0)</f>
        <v>0</v>
      </c>
      <c r="AK266" s="22">
        <f>IF(AN266=15,J266,0)</f>
        <v>0</v>
      </c>
      <c r="AL266" s="22">
        <f>IF(AN266=21,J266,0)</f>
        <v>0</v>
      </c>
      <c r="AN266" s="22">
        <v>21</v>
      </c>
      <c r="AO266" s="22">
        <f>G266*0</f>
        <v>0</v>
      </c>
      <c r="AP266" s="22">
        <f>G266*(1-0)</f>
        <v>0</v>
      </c>
      <c r="AQ266" s="23" t="s">
        <v>194</v>
      </c>
      <c r="AV266" s="22">
        <f>AW266+AX266</f>
        <v>0</v>
      </c>
      <c r="AW266" s="22">
        <f>F266*AO266</f>
        <v>0</v>
      </c>
      <c r="AX266" s="22">
        <f>F266*AP266</f>
        <v>0</v>
      </c>
      <c r="AY266" s="23" t="s">
        <v>563</v>
      </c>
      <c r="AZ266" s="23" t="s">
        <v>493</v>
      </c>
      <c r="BA266" s="34" t="s">
        <v>170</v>
      </c>
      <c r="BC266" s="22">
        <f>AW266+AX266</f>
        <v>0</v>
      </c>
      <c r="BD266" s="22">
        <f>G266/(100-BE266)*100</f>
        <v>0</v>
      </c>
      <c r="BE266" s="22">
        <v>0</v>
      </c>
      <c r="BF266" s="22">
        <f>259</f>
        <v>259</v>
      </c>
      <c r="BH266" s="22">
        <f>F266*AO266</f>
        <v>0</v>
      </c>
      <c r="BI266" s="22">
        <f>F266*AP266</f>
        <v>0</v>
      </c>
      <c r="BJ266" s="22">
        <f>F266*G266</f>
        <v>0</v>
      </c>
      <c r="BK266" s="22"/>
      <c r="BL266" s="22"/>
      <c r="BW266" s="22">
        <v>21</v>
      </c>
    </row>
    <row r="267" spans="1:11" ht="15" customHeight="1">
      <c r="A267" s="47"/>
      <c r="C267" s="48" t="s">
        <v>565</v>
      </c>
      <c r="D267" s="48"/>
      <c r="F267" s="49">
        <v>20.152</v>
      </c>
      <c r="K267" s="50"/>
    </row>
    <row r="268" spans="1:75" ht="13.5" customHeight="1">
      <c r="A268" s="21">
        <v>77</v>
      </c>
      <c r="B268" s="3" t="s">
        <v>568</v>
      </c>
      <c r="C268" s="229" t="s">
        <v>569</v>
      </c>
      <c r="D268" s="229"/>
      <c r="E268" s="3" t="s">
        <v>323</v>
      </c>
      <c r="F268" s="22">
        <v>20.152</v>
      </c>
      <c r="G268" s="22">
        <v>0</v>
      </c>
      <c r="H268" s="22">
        <f>F268*AO268</f>
        <v>0</v>
      </c>
      <c r="I268" s="22">
        <f>F268*AP268</f>
        <v>0</v>
      </c>
      <c r="J268" s="22">
        <f>F268*G268</f>
        <v>0</v>
      </c>
      <c r="K268" s="46" t="s">
        <v>167</v>
      </c>
      <c r="Z268" s="22">
        <f>IF(AQ268="5",BJ268,0)</f>
        <v>0</v>
      </c>
      <c r="AB268" s="22">
        <f>IF(AQ268="1",BH268,0)</f>
        <v>0</v>
      </c>
      <c r="AC268" s="22">
        <f>IF(AQ268="1",BI268,0)</f>
        <v>0</v>
      </c>
      <c r="AD268" s="22">
        <f>IF(AQ268="7",BH268,0)</f>
        <v>0</v>
      </c>
      <c r="AE268" s="22">
        <f>IF(AQ268="7",BI268,0)</f>
        <v>0</v>
      </c>
      <c r="AF268" s="22">
        <f>IF(AQ268="2",BH268,0)</f>
        <v>0</v>
      </c>
      <c r="AG268" s="22">
        <f>IF(AQ268="2",BI268,0)</f>
        <v>0</v>
      </c>
      <c r="AH268" s="22">
        <f>IF(AQ268="0",BJ268,0)</f>
        <v>0</v>
      </c>
      <c r="AI268" s="34"/>
      <c r="AJ268" s="22">
        <f>IF(AN268=0,J268,0)</f>
        <v>0</v>
      </c>
      <c r="AK268" s="22">
        <f>IF(AN268=15,J268,0)</f>
        <v>0</v>
      </c>
      <c r="AL268" s="22">
        <f>IF(AN268=21,J268,0)</f>
        <v>0</v>
      </c>
      <c r="AN268" s="22">
        <v>21</v>
      </c>
      <c r="AO268" s="22">
        <f>G268*0</f>
        <v>0</v>
      </c>
      <c r="AP268" s="22">
        <f>G268*(1-0)</f>
        <v>0</v>
      </c>
      <c r="AQ268" s="23" t="s">
        <v>194</v>
      </c>
      <c r="AV268" s="22">
        <f>AW268+AX268</f>
        <v>0</v>
      </c>
      <c r="AW268" s="22">
        <f>F268*AO268</f>
        <v>0</v>
      </c>
      <c r="AX268" s="22">
        <f>F268*AP268</f>
        <v>0</v>
      </c>
      <c r="AY268" s="23" t="s">
        <v>563</v>
      </c>
      <c r="AZ268" s="23" t="s">
        <v>493</v>
      </c>
      <c r="BA268" s="34" t="s">
        <v>170</v>
      </c>
      <c r="BC268" s="22">
        <f>AW268+AX268</f>
        <v>0</v>
      </c>
      <c r="BD268" s="22">
        <f>G268/(100-BE268)*100</f>
        <v>0</v>
      </c>
      <c r="BE268" s="22">
        <v>0</v>
      </c>
      <c r="BF268" s="22">
        <f>261</f>
        <v>261</v>
      </c>
      <c r="BH268" s="22">
        <f>F268*AO268</f>
        <v>0</v>
      </c>
      <c r="BI268" s="22">
        <f>F268*AP268</f>
        <v>0</v>
      </c>
      <c r="BJ268" s="22">
        <f>F268*G268</f>
        <v>0</v>
      </c>
      <c r="BK268" s="22"/>
      <c r="BL268" s="22"/>
      <c r="BW268" s="22">
        <v>21</v>
      </c>
    </row>
    <row r="269" spans="1:11" ht="15" customHeight="1">
      <c r="A269" s="47"/>
      <c r="C269" s="48" t="s">
        <v>565</v>
      </c>
      <c r="D269" s="48"/>
      <c r="F269" s="49">
        <v>20.152</v>
      </c>
      <c r="K269" s="50"/>
    </row>
    <row r="270" spans="1:35" ht="15" customHeight="1">
      <c r="A270" s="42"/>
      <c r="B270" s="43"/>
      <c r="C270" s="267" t="s">
        <v>121</v>
      </c>
      <c r="D270" s="267"/>
      <c r="E270" s="44" t="s">
        <v>58</v>
      </c>
      <c r="F270" s="44" t="s">
        <v>58</v>
      </c>
      <c r="G270" s="44" t="s">
        <v>58</v>
      </c>
      <c r="H270" s="30">
        <f>H276+H281</f>
        <v>0</v>
      </c>
      <c r="I270" s="30">
        <f>I276+I281</f>
        <v>0</v>
      </c>
      <c r="J270" s="30">
        <f>J276+J281</f>
        <v>0</v>
      </c>
      <c r="K270" s="45"/>
      <c r="AI270" s="34"/>
    </row>
    <row r="271" spans="1:47" s="1" customFormat="1" ht="15" customHeight="1">
      <c r="A271" s="52"/>
      <c r="B271" s="53" t="s">
        <v>123</v>
      </c>
      <c r="C271" s="269" t="s">
        <v>124</v>
      </c>
      <c r="D271" s="269"/>
      <c r="E271" s="54" t="s">
        <v>58</v>
      </c>
      <c r="F271" s="54" t="s">
        <v>58</v>
      </c>
      <c r="G271" s="54" t="s">
        <v>58</v>
      </c>
      <c r="H271" s="55">
        <f>SUM(H272:H274)</f>
        <v>0</v>
      </c>
      <c r="I271" s="55">
        <f>SUM(I272:I274)</f>
        <v>0</v>
      </c>
      <c r="J271" s="55">
        <f>SUM(J272:J274)</f>
        <v>0</v>
      </c>
      <c r="K271" s="56"/>
      <c r="AI271" s="57"/>
      <c r="AS271" s="55">
        <f>SUM(AJ272:AJ274)</f>
        <v>0</v>
      </c>
      <c r="AT271" s="55">
        <f>SUM(AK272:AK274)</f>
        <v>0</v>
      </c>
      <c r="AU271" s="55">
        <f>SUM(AL272:AL274)</f>
        <v>0</v>
      </c>
    </row>
    <row r="272" spans="1:75" s="1" customFormat="1" ht="13.5" customHeight="1">
      <c r="A272" s="24" t="s">
        <v>570</v>
      </c>
      <c r="B272" s="25" t="s">
        <v>571</v>
      </c>
      <c r="C272" s="270" t="s">
        <v>572</v>
      </c>
      <c r="D272" s="270"/>
      <c r="E272" s="25" t="s">
        <v>573</v>
      </c>
      <c r="F272" s="26">
        <v>1</v>
      </c>
      <c r="G272" s="26">
        <v>0</v>
      </c>
      <c r="H272" s="26">
        <f>F272*AO272</f>
        <v>0</v>
      </c>
      <c r="I272" s="26">
        <f>F272*AP272</f>
        <v>0</v>
      </c>
      <c r="J272" s="26">
        <f>F272*G272</f>
        <v>0</v>
      </c>
      <c r="K272" s="58"/>
      <c r="Z272" s="26">
        <f>IF(AQ272="5",BJ272,0)</f>
        <v>0</v>
      </c>
      <c r="AB272" s="26">
        <f>IF(AQ272="1",BH272,0)</f>
        <v>0</v>
      </c>
      <c r="AC272" s="26">
        <f>IF(AQ272="1",BI272,0)</f>
        <v>0</v>
      </c>
      <c r="AD272" s="26">
        <f>IF(AQ272="7",BH272,0)</f>
        <v>0</v>
      </c>
      <c r="AE272" s="26">
        <f>IF(AQ272="7",BI272,0)</f>
        <v>0</v>
      </c>
      <c r="AF272" s="26">
        <f>IF(AQ272="2",BH272,0)</f>
        <v>0</v>
      </c>
      <c r="AG272" s="26">
        <f>IF(AQ272="2",BI272,0)</f>
        <v>0</v>
      </c>
      <c r="AH272" s="26">
        <f>IF(AQ272="0",BJ272,0)</f>
        <v>0</v>
      </c>
      <c r="AI272" s="57"/>
      <c r="AJ272" s="26">
        <f>IF(AN272=0,J272,0)</f>
        <v>0</v>
      </c>
      <c r="AK272" s="26">
        <f>IF(AN272=12,J272,0)</f>
        <v>0</v>
      </c>
      <c r="AL272" s="26">
        <f>IF(AN272=21,J272,0)</f>
        <v>0</v>
      </c>
      <c r="AN272" s="26">
        <v>21</v>
      </c>
      <c r="AO272" s="26">
        <f>G272*0</f>
        <v>0</v>
      </c>
      <c r="AP272" s="26">
        <f>G272*(1-0)</f>
        <v>0</v>
      </c>
      <c r="AQ272" s="27" t="s">
        <v>574</v>
      </c>
      <c r="AV272" s="26">
        <f>AW272+AX272</f>
        <v>0</v>
      </c>
      <c r="AW272" s="26">
        <f>F272*AO272</f>
        <v>0</v>
      </c>
      <c r="AX272" s="26">
        <f>F272*AP272</f>
        <v>0</v>
      </c>
      <c r="AY272" s="27" t="s">
        <v>575</v>
      </c>
      <c r="AZ272" s="27" t="s">
        <v>576</v>
      </c>
      <c r="BA272" s="57" t="s">
        <v>170</v>
      </c>
      <c r="BC272" s="26">
        <f>AW272+AX272</f>
        <v>0</v>
      </c>
      <c r="BD272" s="26">
        <f>G272/(100-BE272)*100</f>
        <v>0</v>
      </c>
      <c r="BE272" s="26">
        <v>0</v>
      </c>
      <c r="BF272" s="26">
        <f>272</f>
        <v>272</v>
      </c>
      <c r="BH272" s="26">
        <f>F272*AO272</f>
        <v>0</v>
      </c>
      <c r="BI272" s="26">
        <f>F272*AP272</f>
        <v>0</v>
      </c>
      <c r="BJ272" s="26">
        <f>F272*G272</f>
        <v>0</v>
      </c>
      <c r="BK272" s="26"/>
      <c r="BL272" s="26"/>
      <c r="BM272" s="26">
        <f>F272*G272</f>
        <v>0</v>
      </c>
      <c r="BW272" s="26">
        <v>21</v>
      </c>
    </row>
    <row r="273" spans="1:11" s="1" customFormat="1" ht="15" customHeight="1">
      <c r="A273" s="47"/>
      <c r="C273" s="59" t="s">
        <v>163</v>
      </c>
      <c r="D273" s="59" t="s">
        <v>577</v>
      </c>
      <c r="F273" s="60">
        <v>1</v>
      </c>
      <c r="K273" s="50"/>
    </row>
    <row r="274" spans="1:75" s="1" customFormat="1" ht="13.5" customHeight="1">
      <c r="A274" s="24" t="s">
        <v>578</v>
      </c>
      <c r="B274" s="25" t="s">
        <v>579</v>
      </c>
      <c r="C274" s="270" t="s">
        <v>580</v>
      </c>
      <c r="D274" s="270"/>
      <c r="E274" s="25" t="s">
        <v>573</v>
      </c>
      <c r="F274" s="26">
        <v>1</v>
      </c>
      <c r="G274" s="26">
        <v>0</v>
      </c>
      <c r="H274" s="26">
        <f>F274*AO274</f>
        <v>0</v>
      </c>
      <c r="I274" s="26">
        <f>F274*AP274</f>
        <v>0</v>
      </c>
      <c r="J274" s="26">
        <f>F274*G274</f>
        <v>0</v>
      </c>
      <c r="K274" s="58"/>
      <c r="Z274" s="26">
        <f>IF(AQ274="5",BJ274,0)</f>
        <v>0</v>
      </c>
      <c r="AB274" s="26">
        <f>IF(AQ274="1",BH274,0)</f>
        <v>0</v>
      </c>
      <c r="AC274" s="26">
        <f>IF(AQ274="1",BI274,0)</f>
        <v>0</v>
      </c>
      <c r="AD274" s="26">
        <f>IF(AQ274="7",BH274,0)</f>
        <v>0</v>
      </c>
      <c r="AE274" s="26">
        <f>IF(AQ274="7",BI274,0)</f>
        <v>0</v>
      </c>
      <c r="AF274" s="26">
        <f>IF(AQ274="2",BH274,0)</f>
        <v>0</v>
      </c>
      <c r="AG274" s="26">
        <f>IF(AQ274="2",BI274,0)</f>
        <v>0</v>
      </c>
      <c r="AH274" s="26">
        <f>IF(AQ274="0",BJ274,0)</f>
        <v>0</v>
      </c>
      <c r="AI274" s="57"/>
      <c r="AJ274" s="26">
        <f>IF(AN274=0,J274,0)</f>
        <v>0</v>
      </c>
      <c r="AK274" s="26">
        <f>IF(AN274=12,J274,0)</f>
        <v>0</v>
      </c>
      <c r="AL274" s="26">
        <f>IF(AN274=21,J274,0)</f>
        <v>0</v>
      </c>
      <c r="AN274" s="26">
        <v>21</v>
      </c>
      <c r="AO274" s="26">
        <f>G274*0</f>
        <v>0</v>
      </c>
      <c r="AP274" s="26">
        <f>G274*(1-0)</f>
        <v>0</v>
      </c>
      <c r="AQ274" s="27" t="s">
        <v>574</v>
      </c>
      <c r="AV274" s="26">
        <f>AW274+AX274</f>
        <v>0</v>
      </c>
      <c r="AW274" s="26">
        <f>F274*AO274</f>
        <v>0</v>
      </c>
      <c r="AX274" s="26">
        <f>F274*AP274</f>
        <v>0</v>
      </c>
      <c r="AY274" s="27" t="s">
        <v>575</v>
      </c>
      <c r="AZ274" s="27" t="s">
        <v>576</v>
      </c>
      <c r="BA274" s="57" t="s">
        <v>170</v>
      </c>
      <c r="BC274" s="26">
        <f>AW274+AX274</f>
        <v>0</v>
      </c>
      <c r="BD274" s="26">
        <f>G274/(100-BE274)*100</f>
        <v>0</v>
      </c>
      <c r="BE274" s="26">
        <v>0</v>
      </c>
      <c r="BF274" s="26">
        <f>274</f>
        <v>274</v>
      </c>
      <c r="BH274" s="26">
        <f>F274*AO274</f>
        <v>0</v>
      </c>
      <c r="BI274" s="26">
        <f>F274*AP274</f>
        <v>0</v>
      </c>
      <c r="BJ274" s="26">
        <f>F274*G274</f>
        <v>0</v>
      </c>
      <c r="BK274" s="26"/>
      <c r="BL274" s="26"/>
      <c r="BM274" s="26">
        <f>F274*G274</f>
        <v>0</v>
      </c>
      <c r="BW274" s="26">
        <v>21</v>
      </c>
    </row>
    <row r="275" spans="1:11" s="1" customFormat="1" ht="15" customHeight="1">
      <c r="A275" s="47"/>
      <c r="C275" s="59" t="s">
        <v>163</v>
      </c>
      <c r="D275" s="59"/>
      <c r="F275" s="60">
        <v>1</v>
      </c>
      <c r="K275" s="50"/>
    </row>
    <row r="276" spans="1:47" ht="15" customHeight="1">
      <c r="A276" s="42"/>
      <c r="B276" s="43" t="s">
        <v>125</v>
      </c>
      <c r="C276" s="267" t="s">
        <v>24</v>
      </c>
      <c r="D276" s="267"/>
      <c r="E276" s="44" t="s">
        <v>58</v>
      </c>
      <c r="F276" s="44" t="s">
        <v>58</v>
      </c>
      <c r="G276" s="44" t="s">
        <v>58</v>
      </c>
      <c r="H276" s="30">
        <f>SUM(H277:H279)</f>
        <v>0</v>
      </c>
      <c r="I276" s="30">
        <f>SUM(I277:I279)</f>
        <v>0</v>
      </c>
      <c r="J276" s="30">
        <f>SUM(J277:J279)</f>
        <v>0</v>
      </c>
      <c r="K276" s="45"/>
      <c r="AI276" s="34"/>
      <c r="AS276" s="30">
        <f>SUM(AJ277:AJ279)</f>
        <v>0</v>
      </c>
      <c r="AT276" s="30">
        <f>SUM(AK277:AK279)</f>
        <v>0</v>
      </c>
      <c r="AU276" s="30">
        <f>SUM(AL277:AL279)</f>
        <v>0</v>
      </c>
    </row>
    <row r="277" spans="1:75" ht="13.5" customHeight="1">
      <c r="A277" s="21">
        <v>80</v>
      </c>
      <c r="B277" s="3" t="s">
        <v>581</v>
      </c>
      <c r="C277" s="229" t="s">
        <v>582</v>
      </c>
      <c r="D277" s="229"/>
      <c r="E277" s="3" t="s">
        <v>573</v>
      </c>
      <c r="F277" s="22">
        <v>1</v>
      </c>
      <c r="G277" s="22">
        <v>0</v>
      </c>
      <c r="H277" s="22">
        <f>F277*AO277</f>
        <v>0</v>
      </c>
      <c r="I277" s="22">
        <f>F277*AP277</f>
        <v>0</v>
      </c>
      <c r="J277" s="22">
        <f>F277*G277</f>
        <v>0</v>
      </c>
      <c r="K277" s="46"/>
      <c r="Z277" s="22">
        <f>IF(AQ277="5",BJ277,0)</f>
        <v>0</v>
      </c>
      <c r="AB277" s="22">
        <f>IF(AQ277="1",BH277,0)</f>
        <v>0</v>
      </c>
      <c r="AC277" s="22">
        <f>IF(AQ277="1",BI277,0)</f>
        <v>0</v>
      </c>
      <c r="AD277" s="22">
        <f>IF(AQ277="7",BH277,0)</f>
        <v>0</v>
      </c>
      <c r="AE277" s="22">
        <f>IF(AQ277="7",BI277,0)</f>
        <v>0</v>
      </c>
      <c r="AF277" s="22">
        <f>IF(AQ277="2",BH277,0)</f>
        <v>0</v>
      </c>
      <c r="AG277" s="22">
        <f>IF(AQ277="2",BI277,0)</f>
        <v>0</v>
      </c>
      <c r="AH277" s="22">
        <f>IF(AQ277="0",BJ277,0)</f>
        <v>0</v>
      </c>
      <c r="AI277" s="34"/>
      <c r="AJ277" s="22">
        <f>IF(AN277=0,J277,0)</f>
        <v>0</v>
      </c>
      <c r="AK277" s="22">
        <f>IF(AN277=15,J277,0)</f>
        <v>0</v>
      </c>
      <c r="AL277" s="22">
        <f>IF(AN277=21,J277,0)</f>
        <v>0</v>
      </c>
      <c r="AN277" s="22">
        <v>21</v>
      </c>
      <c r="AO277" s="22">
        <f>G277*0</f>
        <v>0</v>
      </c>
      <c r="AP277" s="22">
        <f>G277*(1-0)</f>
        <v>0</v>
      </c>
      <c r="AQ277" s="23" t="s">
        <v>574</v>
      </c>
      <c r="AV277" s="22">
        <f>AW277+AX277</f>
        <v>0</v>
      </c>
      <c r="AW277" s="22">
        <f>F277*AO277</f>
        <v>0</v>
      </c>
      <c r="AX277" s="22">
        <f>F277*AP277</f>
        <v>0</v>
      </c>
      <c r="AY277" s="23" t="s">
        <v>583</v>
      </c>
      <c r="AZ277" s="23" t="s">
        <v>576</v>
      </c>
      <c r="BA277" s="34" t="s">
        <v>170</v>
      </c>
      <c r="BC277" s="22">
        <f>AW277+AX277</f>
        <v>0</v>
      </c>
      <c r="BD277" s="22">
        <f>G277/(100-BE277)*100</f>
        <v>0</v>
      </c>
      <c r="BE277" s="22">
        <v>0</v>
      </c>
      <c r="BF277" s="22">
        <f>265</f>
        <v>265</v>
      </c>
      <c r="BH277" s="22">
        <f>F277*AO277</f>
        <v>0</v>
      </c>
      <c r="BI277" s="22">
        <f>F277*AP277</f>
        <v>0</v>
      </c>
      <c r="BJ277" s="22">
        <f>F277*G277</f>
        <v>0</v>
      </c>
      <c r="BK277" s="22"/>
      <c r="BL277" s="22"/>
      <c r="BO277" s="22">
        <f>F277*G277</f>
        <v>0</v>
      </c>
      <c r="BW277" s="22">
        <v>21</v>
      </c>
    </row>
    <row r="278" spans="1:11" ht="15" customHeight="1">
      <c r="A278" s="47"/>
      <c r="C278" s="48" t="s">
        <v>163</v>
      </c>
      <c r="D278" s="48"/>
      <c r="F278" s="49">
        <v>1</v>
      </c>
      <c r="K278" s="50"/>
    </row>
    <row r="279" spans="1:75" ht="13.5" customHeight="1">
      <c r="A279" s="21">
        <v>81</v>
      </c>
      <c r="B279" s="3" t="s">
        <v>584</v>
      </c>
      <c r="C279" s="229" t="s">
        <v>585</v>
      </c>
      <c r="D279" s="229"/>
      <c r="E279" s="3" t="s">
        <v>573</v>
      </c>
      <c r="F279" s="22">
        <v>1</v>
      </c>
      <c r="G279" s="22">
        <v>0</v>
      </c>
      <c r="H279" s="22">
        <f>F279*AO279</f>
        <v>0</v>
      </c>
      <c r="I279" s="22">
        <f>F279*AP279</f>
        <v>0</v>
      </c>
      <c r="J279" s="22">
        <f>F279*G279</f>
        <v>0</v>
      </c>
      <c r="K279" s="46"/>
      <c r="Z279" s="22">
        <f>IF(AQ279="5",BJ279,0)</f>
        <v>0</v>
      </c>
      <c r="AB279" s="22">
        <f>IF(AQ279="1",BH279,0)</f>
        <v>0</v>
      </c>
      <c r="AC279" s="22">
        <f>IF(AQ279="1",BI279,0)</f>
        <v>0</v>
      </c>
      <c r="AD279" s="22">
        <f>IF(AQ279="7",BH279,0)</f>
        <v>0</v>
      </c>
      <c r="AE279" s="22">
        <f>IF(AQ279="7",BI279,0)</f>
        <v>0</v>
      </c>
      <c r="AF279" s="22">
        <f>IF(AQ279="2",BH279,0)</f>
        <v>0</v>
      </c>
      <c r="AG279" s="22">
        <f>IF(AQ279="2",BI279,0)</f>
        <v>0</v>
      </c>
      <c r="AH279" s="22">
        <f>IF(AQ279="0",BJ279,0)</f>
        <v>0</v>
      </c>
      <c r="AI279" s="34"/>
      <c r="AJ279" s="22">
        <f>IF(AN279=0,J279,0)</f>
        <v>0</v>
      </c>
      <c r="AK279" s="22">
        <f>IF(AN279=15,J279,0)</f>
        <v>0</v>
      </c>
      <c r="AL279" s="22">
        <f>IF(AN279=21,J279,0)</f>
        <v>0</v>
      </c>
      <c r="AN279" s="22">
        <v>21</v>
      </c>
      <c r="AO279" s="22">
        <f>G279*0</f>
        <v>0</v>
      </c>
      <c r="AP279" s="22">
        <f>G279*(1-0)</f>
        <v>0</v>
      </c>
      <c r="AQ279" s="23" t="s">
        <v>574</v>
      </c>
      <c r="AV279" s="22">
        <f>AW279+AX279</f>
        <v>0</v>
      </c>
      <c r="AW279" s="22">
        <f>F279*AO279</f>
        <v>0</v>
      </c>
      <c r="AX279" s="22">
        <f>F279*AP279</f>
        <v>0</v>
      </c>
      <c r="AY279" s="23" t="s">
        <v>583</v>
      </c>
      <c r="AZ279" s="23" t="s">
        <v>576</v>
      </c>
      <c r="BA279" s="34" t="s">
        <v>170</v>
      </c>
      <c r="BC279" s="22">
        <f>AW279+AX279</f>
        <v>0</v>
      </c>
      <c r="BD279" s="22">
        <f>G279/(100-BE279)*100</f>
        <v>0</v>
      </c>
      <c r="BE279" s="22">
        <v>0</v>
      </c>
      <c r="BF279" s="22">
        <f>267</f>
        <v>267</v>
      </c>
      <c r="BH279" s="22">
        <f>F279*AO279</f>
        <v>0</v>
      </c>
      <c r="BI279" s="22">
        <f>F279*AP279</f>
        <v>0</v>
      </c>
      <c r="BJ279" s="22">
        <f>F279*G279</f>
        <v>0</v>
      </c>
      <c r="BK279" s="22"/>
      <c r="BL279" s="22"/>
      <c r="BO279" s="22">
        <f>F279*G279</f>
        <v>0</v>
      </c>
      <c r="BW279" s="22">
        <v>21</v>
      </c>
    </row>
    <row r="280" spans="1:11" ht="15" customHeight="1">
      <c r="A280" s="47"/>
      <c r="C280" s="48" t="s">
        <v>163</v>
      </c>
      <c r="D280" s="48"/>
      <c r="F280" s="49">
        <v>1</v>
      </c>
      <c r="K280" s="50"/>
    </row>
    <row r="281" spans="1:47" ht="15" customHeight="1">
      <c r="A281" s="42"/>
      <c r="B281" s="43" t="s">
        <v>126</v>
      </c>
      <c r="C281" s="267" t="s">
        <v>127</v>
      </c>
      <c r="D281" s="267"/>
      <c r="E281" s="44" t="s">
        <v>58</v>
      </c>
      <c r="F281" s="44" t="s">
        <v>58</v>
      </c>
      <c r="G281" s="44" t="s">
        <v>58</v>
      </c>
      <c r="H281" s="30">
        <f>SUM(H282:H282)</f>
        <v>0</v>
      </c>
      <c r="I281" s="30">
        <f>SUM(I282:I282)</f>
        <v>0</v>
      </c>
      <c r="J281" s="30">
        <f>SUM(J282:J282)</f>
        <v>0</v>
      </c>
      <c r="K281" s="45"/>
      <c r="AI281" s="34"/>
      <c r="AS281" s="30">
        <f>SUM(AJ282:AJ282)</f>
        <v>0</v>
      </c>
      <c r="AT281" s="30">
        <f>SUM(AK282:AK282)</f>
        <v>0</v>
      </c>
      <c r="AU281" s="30">
        <f>SUM(AL282:AL282)</f>
        <v>0</v>
      </c>
    </row>
    <row r="282" spans="1:75" ht="13.5" customHeight="1">
      <c r="A282" s="21">
        <v>82</v>
      </c>
      <c r="B282" s="3" t="s">
        <v>586</v>
      </c>
      <c r="C282" s="229" t="s">
        <v>587</v>
      </c>
      <c r="D282" s="229"/>
      <c r="E282" s="3" t="s">
        <v>573</v>
      </c>
      <c r="F282" s="22">
        <v>1</v>
      </c>
      <c r="G282" s="22">
        <v>0</v>
      </c>
      <c r="H282" s="22">
        <f>F282*AO282</f>
        <v>0</v>
      </c>
      <c r="I282" s="22">
        <f>F282*AP282</f>
        <v>0</v>
      </c>
      <c r="J282" s="22">
        <f>F282*G282</f>
        <v>0</v>
      </c>
      <c r="K282" s="46"/>
      <c r="Z282" s="22">
        <f>IF(AQ282="5",BJ282,0)</f>
        <v>0</v>
      </c>
      <c r="AB282" s="22">
        <f>IF(AQ282="1",BH282,0)</f>
        <v>0</v>
      </c>
      <c r="AC282" s="22">
        <f>IF(AQ282="1",BI282,0)</f>
        <v>0</v>
      </c>
      <c r="AD282" s="22">
        <f>IF(AQ282="7",BH282,0)</f>
        <v>0</v>
      </c>
      <c r="AE282" s="22">
        <f>IF(AQ282="7",BI282,0)</f>
        <v>0</v>
      </c>
      <c r="AF282" s="22">
        <f>IF(AQ282="2",BH282,0)</f>
        <v>0</v>
      </c>
      <c r="AG282" s="22">
        <f>IF(AQ282="2",BI282,0)</f>
        <v>0</v>
      </c>
      <c r="AH282" s="22">
        <f>IF(AQ282="0",BJ282,0)</f>
        <v>0</v>
      </c>
      <c r="AI282" s="34"/>
      <c r="AJ282" s="22">
        <f>IF(AN282=0,J282,0)</f>
        <v>0</v>
      </c>
      <c r="AK282" s="22">
        <f>IF(AN282=15,J282,0)</f>
        <v>0</v>
      </c>
      <c r="AL282" s="22">
        <f>IF(AN282=21,J282,0)</f>
        <v>0</v>
      </c>
      <c r="AN282" s="22">
        <v>21</v>
      </c>
      <c r="AO282" s="22">
        <f>G282*0</f>
        <v>0</v>
      </c>
      <c r="AP282" s="22">
        <f>G282*(1-0)</f>
        <v>0</v>
      </c>
      <c r="AQ282" s="23" t="s">
        <v>574</v>
      </c>
      <c r="AV282" s="22">
        <f>AW282+AX282</f>
        <v>0</v>
      </c>
      <c r="AW282" s="22">
        <f>F282*AO282</f>
        <v>0</v>
      </c>
      <c r="AX282" s="22">
        <f>F282*AP282</f>
        <v>0</v>
      </c>
      <c r="AY282" s="23" t="s">
        <v>588</v>
      </c>
      <c r="AZ282" s="23" t="s">
        <v>576</v>
      </c>
      <c r="BA282" s="34" t="s">
        <v>170</v>
      </c>
      <c r="BC282" s="22">
        <f>AW282+AX282</f>
        <v>0</v>
      </c>
      <c r="BD282" s="22">
        <f>G282/(100-BE282)*100</f>
        <v>0</v>
      </c>
      <c r="BE282" s="22">
        <v>0</v>
      </c>
      <c r="BF282" s="22">
        <f>270</f>
        <v>270</v>
      </c>
      <c r="BH282" s="22">
        <f>F282*AO282</f>
        <v>0</v>
      </c>
      <c r="BI282" s="22">
        <f>F282*AP282</f>
        <v>0</v>
      </c>
      <c r="BJ282" s="22">
        <f>F282*G282</f>
        <v>0</v>
      </c>
      <c r="BK282" s="22"/>
      <c r="BL282" s="22"/>
      <c r="BP282" s="22">
        <f>F282*G282</f>
        <v>0</v>
      </c>
      <c r="BW282" s="22">
        <v>21</v>
      </c>
    </row>
    <row r="283" spans="1:11" ht="15" customHeight="1">
      <c r="A283" s="61"/>
      <c r="B283" s="62"/>
      <c r="C283" s="63" t="s">
        <v>163</v>
      </c>
      <c r="D283" s="63"/>
      <c r="E283" s="62"/>
      <c r="F283" s="64">
        <v>1</v>
      </c>
      <c r="G283" s="62"/>
      <c r="H283" s="62"/>
      <c r="I283" s="62"/>
      <c r="J283" s="62"/>
      <c r="K283" s="65"/>
    </row>
    <row r="284" spans="8:10" ht="15" customHeight="1">
      <c r="H284" s="271" t="s">
        <v>128</v>
      </c>
      <c r="I284" s="271"/>
      <c r="J284" s="29">
        <f>J12+J20+J25+J28+J34+J38+J45+J62+J72+J78+J88+J129+J138+J145+J148+J157+J172+J197+J201+J208+J211+J220+J231+J243+J246+J256+J276+J281+J271+J249</f>
        <v>0</v>
      </c>
    </row>
    <row r="285" ht="15" customHeight="1">
      <c r="A285" s="17" t="s">
        <v>55</v>
      </c>
    </row>
    <row r="286" spans="1:11" ht="12.75" customHeight="1">
      <c r="A286" s="229"/>
      <c r="B286" s="229"/>
      <c r="C286" s="229"/>
      <c r="D286" s="229"/>
      <c r="E286" s="229"/>
      <c r="F286" s="229"/>
      <c r="G286" s="229"/>
      <c r="H286" s="229"/>
      <c r="I286" s="229"/>
      <c r="J286" s="229"/>
      <c r="K286" s="229"/>
    </row>
  </sheetData>
  <sheetProtection selectLockedCells="1" selectUnlockedCells="1"/>
  <mergeCells count="192">
    <mergeCell ref="C279:D279"/>
    <mergeCell ref="C281:D281"/>
    <mergeCell ref="C282:D282"/>
    <mergeCell ref="H284:I284"/>
    <mergeCell ref="A286:K286"/>
    <mergeCell ref="C270:D270"/>
    <mergeCell ref="C271:D271"/>
    <mergeCell ref="C272:D272"/>
    <mergeCell ref="C274:D274"/>
    <mergeCell ref="C276:D276"/>
    <mergeCell ref="C277:D277"/>
    <mergeCell ref="C260:D260"/>
    <mergeCell ref="C262:K262"/>
    <mergeCell ref="C263:D263"/>
    <mergeCell ref="C265:K265"/>
    <mergeCell ref="C266:D266"/>
    <mergeCell ref="C268:D268"/>
    <mergeCell ref="C250:D250"/>
    <mergeCell ref="C252:D252"/>
    <mergeCell ref="C254:D254"/>
    <mergeCell ref="C256:D256"/>
    <mergeCell ref="C257:D257"/>
    <mergeCell ref="C259:K259"/>
    <mergeCell ref="C242:K242"/>
    <mergeCell ref="C243:D243"/>
    <mergeCell ref="C244:D244"/>
    <mergeCell ref="C246:D246"/>
    <mergeCell ref="C247:D247"/>
    <mergeCell ref="C249:D249"/>
    <mergeCell ref="C231:D231"/>
    <mergeCell ref="C232:D232"/>
    <mergeCell ref="C234:K234"/>
    <mergeCell ref="C235:D235"/>
    <mergeCell ref="C238:K238"/>
    <mergeCell ref="C239:D239"/>
    <mergeCell ref="C220:D220"/>
    <mergeCell ref="C221:D221"/>
    <mergeCell ref="C225:D225"/>
    <mergeCell ref="C227:K227"/>
    <mergeCell ref="C228:D228"/>
    <mergeCell ref="C230:K230"/>
    <mergeCell ref="C207:K207"/>
    <mergeCell ref="C208:D208"/>
    <mergeCell ref="C209:D209"/>
    <mergeCell ref="C211:D211"/>
    <mergeCell ref="C212:D212"/>
    <mergeCell ref="C219:K219"/>
    <mergeCell ref="C198:D198"/>
    <mergeCell ref="C200:K200"/>
    <mergeCell ref="C201:D201"/>
    <mergeCell ref="C202:D202"/>
    <mergeCell ref="C204:K204"/>
    <mergeCell ref="C205:D205"/>
    <mergeCell ref="C189:D189"/>
    <mergeCell ref="C191:K191"/>
    <mergeCell ref="C192:D192"/>
    <mergeCell ref="C194:K194"/>
    <mergeCell ref="C195:D195"/>
    <mergeCell ref="C197:D197"/>
    <mergeCell ref="C178:D178"/>
    <mergeCell ref="C181:K181"/>
    <mergeCell ref="C182:D182"/>
    <mergeCell ref="C184:K184"/>
    <mergeCell ref="C185:D185"/>
    <mergeCell ref="C188:K188"/>
    <mergeCell ref="C168:K168"/>
    <mergeCell ref="C169:D169"/>
    <mergeCell ref="C171:K171"/>
    <mergeCell ref="C172:D172"/>
    <mergeCell ref="C173:D173"/>
    <mergeCell ref="C177:K177"/>
    <mergeCell ref="C158:D158"/>
    <mergeCell ref="C160:D160"/>
    <mergeCell ref="C162:K162"/>
    <mergeCell ref="C163:D163"/>
    <mergeCell ref="C165:K165"/>
    <mergeCell ref="C166:D166"/>
    <mergeCell ref="C149:D149"/>
    <mergeCell ref="C151:K151"/>
    <mergeCell ref="C152:D152"/>
    <mergeCell ref="C154:K154"/>
    <mergeCell ref="C155:D155"/>
    <mergeCell ref="C157:D157"/>
    <mergeCell ref="C141:K141"/>
    <mergeCell ref="C142:D142"/>
    <mergeCell ref="C144:K144"/>
    <mergeCell ref="C145:D145"/>
    <mergeCell ref="C146:D146"/>
    <mergeCell ref="C148:D148"/>
    <mergeCell ref="C130:D130"/>
    <mergeCell ref="C132:D132"/>
    <mergeCell ref="C134:D134"/>
    <mergeCell ref="C136:D136"/>
    <mergeCell ref="C138:D138"/>
    <mergeCell ref="C139:D139"/>
    <mergeCell ref="C120:D120"/>
    <mergeCell ref="C122:K122"/>
    <mergeCell ref="C123:D123"/>
    <mergeCell ref="C126:K126"/>
    <mergeCell ref="C127:D127"/>
    <mergeCell ref="C129:D129"/>
    <mergeCell ref="C108:D108"/>
    <mergeCell ref="C110:D110"/>
    <mergeCell ref="C112:K112"/>
    <mergeCell ref="C113:D113"/>
    <mergeCell ref="C116:D116"/>
    <mergeCell ref="C119:K119"/>
    <mergeCell ref="C99:K99"/>
    <mergeCell ref="C100:D100"/>
    <mergeCell ref="C102:K102"/>
    <mergeCell ref="C103:D103"/>
    <mergeCell ref="C105:K105"/>
    <mergeCell ref="C106:D106"/>
    <mergeCell ref="C85:D85"/>
    <mergeCell ref="C87:K87"/>
    <mergeCell ref="C88:D88"/>
    <mergeCell ref="C89:D89"/>
    <mergeCell ref="C94:D94"/>
    <mergeCell ref="C97:D97"/>
    <mergeCell ref="C76:D76"/>
    <mergeCell ref="C78:D78"/>
    <mergeCell ref="C79:D79"/>
    <mergeCell ref="C81:K81"/>
    <mergeCell ref="C82:D82"/>
    <mergeCell ref="C84:K84"/>
    <mergeCell ref="C67:D67"/>
    <mergeCell ref="C69:K69"/>
    <mergeCell ref="C70:D70"/>
    <mergeCell ref="C72:D72"/>
    <mergeCell ref="C73:D73"/>
    <mergeCell ref="C75:K75"/>
    <mergeCell ref="C58:K58"/>
    <mergeCell ref="C59:D59"/>
    <mergeCell ref="C61:K61"/>
    <mergeCell ref="C62:D62"/>
    <mergeCell ref="C63:D63"/>
    <mergeCell ref="C66:K66"/>
    <mergeCell ref="C46:D46"/>
    <mergeCell ref="C48:K48"/>
    <mergeCell ref="C49:D49"/>
    <mergeCell ref="C52:K52"/>
    <mergeCell ref="C53:D53"/>
    <mergeCell ref="C56:D56"/>
    <mergeCell ref="C37:K37"/>
    <mergeCell ref="C38:D38"/>
    <mergeCell ref="C39:D39"/>
    <mergeCell ref="C41:D41"/>
    <mergeCell ref="C44:K44"/>
    <mergeCell ref="C45:D45"/>
    <mergeCell ref="C26:D26"/>
    <mergeCell ref="C28:D28"/>
    <mergeCell ref="C29:D29"/>
    <mergeCell ref="C33:K33"/>
    <mergeCell ref="C34:D34"/>
    <mergeCell ref="C35:D35"/>
    <mergeCell ref="C17:D17"/>
    <mergeCell ref="C19:K19"/>
    <mergeCell ref="C20:D20"/>
    <mergeCell ref="C21:D21"/>
    <mergeCell ref="C24:K24"/>
    <mergeCell ref="C25:D25"/>
    <mergeCell ref="C10:D10"/>
    <mergeCell ref="H10:J10"/>
    <mergeCell ref="C11:D11"/>
    <mergeCell ref="C12:D12"/>
    <mergeCell ref="C13:D13"/>
    <mergeCell ref="C16:K16"/>
    <mergeCell ref="A8:B9"/>
    <mergeCell ref="C8:D9"/>
    <mergeCell ref="E8:F9"/>
    <mergeCell ref="G8:G9"/>
    <mergeCell ref="H8:H9"/>
    <mergeCell ref="I8:K9"/>
    <mergeCell ref="A6:B7"/>
    <mergeCell ref="C6:D7"/>
    <mergeCell ref="E6:F7"/>
    <mergeCell ref="G6:G7"/>
    <mergeCell ref="H6:H7"/>
    <mergeCell ref="I6:K7"/>
    <mergeCell ref="A4:B5"/>
    <mergeCell ref="C4:D5"/>
    <mergeCell ref="E4:F5"/>
    <mergeCell ref="G4:G5"/>
    <mergeCell ref="H4:H5"/>
    <mergeCell ref="I4:K5"/>
    <mergeCell ref="A1:K1"/>
    <mergeCell ref="A2:B3"/>
    <mergeCell ref="C2:D3"/>
    <mergeCell ref="E2:F3"/>
    <mergeCell ref="G2:G3"/>
    <mergeCell ref="H2:H3"/>
    <mergeCell ref="I2:K3"/>
  </mergeCells>
  <printOptions/>
  <pageMargins left="0.39375" right="0.39375" top="0.5909722222222222" bottom="0.5909722222222222" header="0.5118110236220472" footer="0.5118110236220472"/>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O144"/>
  <sheetViews>
    <sheetView showOutlineSymbols="0" zoomScale="90" zoomScaleNormal="90" zoomScalePageLayoutView="0" workbookViewId="0" topLeftCell="A6">
      <selection activeCell="M30" sqref="M30"/>
    </sheetView>
  </sheetViews>
  <sheetFormatPr defaultColWidth="10.83203125" defaultRowHeight="11.25"/>
  <cols>
    <col min="1" max="1" width="5.16015625" style="0" customWidth="1"/>
    <col min="2" max="2" width="4.83203125" style="0" customWidth="1"/>
    <col min="3" max="3" width="4.16015625" style="0" customWidth="1"/>
    <col min="4" max="4" width="5.83203125" style="0" customWidth="1"/>
    <col min="5" max="5" width="19" style="0" customWidth="1"/>
    <col min="6" max="6" width="8.66015625" style="0" customWidth="1"/>
    <col min="7" max="7" width="10.83203125" style="0" customWidth="1"/>
    <col min="8" max="8" width="6" style="0" customWidth="1"/>
    <col min="9" max="9" width="8.16015625" style="0" customWidth="1"/>
    <col min="10" max="10" width="7" style="0" customWidth="1"/>
    <col min="11" max="11" width="17.66015625" style="66" customWidth="1"/>
    <col min="12" max="15" width="16.83203125" style="66" customWidth="1"/>
  </cols>
  <sheetData>
    <row r="1" spans="1:15" ht="26.25" customHeight="1">
      <c r="A1" s="272" t="s">
        <v>589</v>
      </c>
      <c r="B1" s="272"/>
      <c r="C1" s="272"/>
      <c r="D1" s="272"/>
      <c r="E1" s="272"/>
      <c r="F1" s="272"/>
      <c r="G1" s="272"/>
      <c r="H1" s="272"/>
      <c r="I1" s="272"/>
      <c r="J1" s="272"/>
      <c r="K1" s="272"/>
      <c r="L1" s="272"/>
      <c r="M1" s="272"/>
      <c r="N1" s="272"/>
      <c r="O1" s="272"/>
    </row>
    <row r="2" spans="1:15" ht="12" customHeight="1">
      <c r="A2" s="273" t="s">
        <v>590</v>
      </c>
      <c r="B2" s="273"/>
      <c r="C2" s="273"/>
      <c r="D2" s="273"/>
      <c r="E2" s="273"/>
      <c r="F2" s="273"/>
      <c r="G2" s="273"/>
      <c r="H2" s="273"/>
      <c r="I2" s="273"/>
      <c r="J2" s="273"/>
      <c r="K2" s="67" t="s">
        <v>591</v>
      </c>
      <c r="L2" s="67" t="s">
        <v>591</v>
      </c>
      <c r="M2" s="67" t="s">
        <v>592</v>
      </c>
      <c r="N2" s="67" t="s">
        <v>592</v>
      </c>
      <c r="O2" s="67" t="s">
        <v>593</v>
      </c>
    </row>
    <row r="3" spans="1:15" ht="12">
      <c r="A3" s="68"/>
      <c r="B3" s="69"/>
      <c r="C3" s="69"/>
      <c r="D3" s="69"/>
      <c r="E3" s="69"/>
      <c r="F3" s="69"/>
      <c r="G3" s="69"/>
      <c r="H3" s="69"/>
      <c r="I3" s="69"/>
      <c r="J3" s="70"/>
      <c r="K3" s="67" t="s">
        <v>593</v>
      </c>
      <c r="L3" s="67" t="s">
        <v>594</v>
      </c>
      <c r="M3" s="67" t="s">
        <v>593</v>
      </c>
      <c r="N3" s="67" t="s">
        <v>594</v>
      </c>
      <c r="O3" s="67" t="s">
        <v>594</v>
      </c>
    </row>
    <row r="4" ht="12.75">
      <c r="A4" s="71" t="s">
        <v>595</v>
      </c>
    </row>
    <row r="5" spans="1:2" ht="12.75">
      <c r="A5" t="s">
        <v>596</v>
      </c>
      <c r="B5" t="s">
        <v>597</v>
      </c>
    </row>
    <row r="6" ht="12.75">
      <c r="C6" t="s">
        <v>598</v>
      </c>
    </row>
    <row r="7" spans="4:7" ht="12.75">
      <c r="D7" t="s">
        <v>599</v>
      </c>
      <c r="F7">
        <v>29.3</v>
      </c>
      <c r="G7" t="s">
        <v>600</v>
      </c>
    </row>
    <row r="8" spans="4:6" ht="12.75">
      <c r="D8" t="s">
        <v>601</v>
      </c>
      <c r="F8">
        <v>3.66</v>
      </c>
    </row>
    <row r="9" spans="4:6" ht="12.75">
      <c r="D9" t="s">
        <v>602</v>
      </c>
      <c r="F9">
        <v>5.61</v>
      </c>
    </row>
    <row r="10" spans="4:7" ht="12.75">
      <c r="D10" t="s">
        <v>603</v>
      </c>
      <c r="F10">
        <v>15</v>
      </c>
      <c r="G10" t="s">
        <v>600</v>
      </c>
    </row>
    <row r="11" spans="4:7" ht="12.75">
      <c r="D11" t="s">
        <v>604</v>
      </c>
      <c r="F11">
        <v>68</v>
      </c>
      <c r="G11" t="s">
        <v>605</v>
      </c>
    </row>
    <row r="12" spans="4:7" ht="12.75">
      <c r="D12" t="s">
        <v>606</v>
      </c>
      <c r="F12">
        <v>12.4</v>
      </c>
      <c r="G12" t="s">
        <v>600</v>
      </c>
    </row>
    <row r="13" spans="4:7" ht="12.75">
      <c r="D13" t="s">
        <v>607</v>
      </c>
      <c r="F13">
        <v>24</v>
      </c>
      <c r="G13" t="s">
        <v>15</v>
      </c>
    </row>
    <row r="14" spans="4:7" ht="12.75">
      <c r="D14" t="s">
        <v>608</v>
      </c>
      <c r="F14">
        <v>57</v>
      </c>
      <c r="G14" t="s">
        <v>609</v>
      </c>
    </row>
    <row r="15" spans="4:7" ht="12.75">
      <c r="D15" t="s">
        <v>610</v>
      </c>
      <c r="F15">
        <v>400</v>
      </c>
      <c r="G15" t="s">
        <v>611</v>
      </c>
    </row>
    <row r="16" spans="4:6" ht="12.75">
      <c r="D16" t="s">
        <v>612</v>
      </c>
      <c r="F16" t="s">
        <v>613</v>
      </c>
    </row>
    <row r="17" spans="4:15" ht="12.75">
      <c r="D17" t="s">
        <v>614</v>
      </c>
      <c r="F17">
        <v>360</v>
      </c>
      <c r="G17" t="s">
        <v>615</v>
      </c>
      <c r="I17">
        <v>1</v>
      </c>
      <c r="J17" t="s">
        <v>616</v>
      </c>
      <c r="K17" s="72">
        <v>0</v>
      </c>
      <c r="L17" s="66">
        <f aca="true" t="shared" si="0" ref="L17:L143">+K17*I17</f>
        <v>0</v>
      </c>
      <c r="M17" s="66">
        <v>0</v>
      </c>
      <c r="N17" s="66">
        <f aca="true" t="shared" si="1" ref="N17:N142">+M17*I17</f>
        <v>0</v>
      </c>
      <c r="O17" s="66">
        <f aca="true" t="shared" si="2" ref="O17:O142">+N17+L17</f>
        <v>0</v>
      </c>
    </row>
    <row r="18" spans="11:15" ht="12.75">
      <c r="K18" s="72"/>
      <c r="L18" s="66">
        <f t="shared" si="0"/>
        <v>0</v>
      </c>
      <c r="N18" s="66">
        <f t="shared" si="1"/>
        <v>0</v>
      </c>
      <c r="O18" s="66">
        <f t="shared" si="2"/>
        <v>0</v>
      </c>
    </row>
    <row r="19" spans="1:15" ht="12.75">
      <c r="A19" t="s">
        <v>617</v>
      </c>
      <c r="B19" t="s">
        <v>597</v>
      </c>
      <c r="K19" s="72"/>
      <c r="L19" s="66">
        <f t="shared" si="0"/>
        <v>0</v>
      </c>
      <c r="N19" s="66">
        <f t="shared" si="1"/>
        <v>0</v>
      </c>
      <c r="O19" s="66">
        <f t="shared" si="2"/>
        <v>0</v>
      </c>
    </row>
    <row r="20" spans="3:15" ht="12.75">
      <c r="C20" t="s">
        <v>598</v>
      </c>
      <c r="L20" s="66">
        <f t="shared" si="0"/>
        <v>0</v>
      </c>
      <c r="N20" s="66">
        <f t="shared" si="1"/>
        <v>0</v>
      </c>
      <c r="O20" s="66">
        <f t="shared" si="2"/>
        <v>0</v>
      </c>
    </row>
    <row r="21" spans="4:15" ht="12" customHeight="1">
      <c r="D21" t="s">
        <v>599</v>
      </c>
      <c r="F21">
        <v>38.8</v>
      </c>
      <c r="G21" t="s">
        <v>600</v>
      </c>
      <c r="K21" s="72"/>
      <c r="L21" s="66">
        <f t="shared" si="0"/>
        <v>0</v>
      </c>
      <c r="N21" s="66">
        <f t="shared" si="1"/>
        <v>0</v>
      </c>
      <c r="O21" s="66">
        <f t="shared" si="2"/>
        <v>0</v>
      </c>
    </row>
    <row r="22" spans="4:15" ht="12.75">
      <c r="D22" t="s">
        <v>601</v>
      </c>
      <c r="F22">
        <v>3.1</v>
      </c>
      <c r="K22" s="72"/>
      <c r="L22" s="66">
        <f t="shared" si="0"/>
        <v>0</v>
      </c>
      <c r="N22" s="66">
        <f t="shared" si="1"/>
        <v>0</v>
      </c>
      <c r="O22" s="66">
        <f t="shared" si="2"/>
        <v>0</v>
      </c>
    </row>
    <row r="23" spans="4:15" ht="12.75">
      <c r="D23" t="s">
        <v>602</v>
      </c>
      <c r="F23">
        <v>5.48</v>
      </c>
      <c r="K23" s="72"/>
      <c r="L23" s="66">
        <f t="shared" si="0"/>
        <v>0</v>
      </c>
      <c r="N23" s="66">
        <f t="shared" si="1"/>
        <v>0</v>
      </c>
      <c r="O23" s="66">
        <f t="shared" si="2"/>
        <v>0</v>
      </c>
    </row>
    <row r="24" spans="4:15" ht="12.75">
      <c r="D24" t="s">
        <v>604</v>
      </c>
      <c r="F24">
        <v>68</v>
      </c>
      <c r="G24" t="s">
        <v>605</v>
      </c>
      <c r="K24" s="72"/>
      <c r="L24" s="66">
        <f t="shared" si="0"/>
        <v>0</v>
      </c>
      <c r="N24" s="66">
        <f t="shared" si="1"/>
        <v>0</v>
      </c>
      <c r="O24" s="66">
        <f t="shared" si="2"/>
        <v>0</v>
      </c>
    </row>
    <row r="25" spans="4:15" ht="12.75">
      <c r="D25" t="s">
        <v>606</v>
      </c>
      <c r="F25">
        <v>16.4</v>
      </c>
      <c r="G25" t="s">
        <v>600</v>
      </c>
      <c r="K25" s="72"/>
      <c r="L25" s="66">
        <f t="shared" si="0"/>
        <v>0</v>
      </c>
      <c r="N25" s="66">
        <f t="shared" si="1"/>
        <v>0</v>
      </c>
      <c r="O25" s="66">
        <f t="shared" si="2"/>
        <v>0</v>
      </c>
    </row>
    <row r="26" spans="4:15" ht="12.75">
      <c r="D26" t="s">
        <v>607</v>
      </c>
      <c r="F26">
        <v>36</v>
      </c>
      <c r="G26" t="s">
        <v>15</v>
      </c>
      <c r="K26" s="72"/>
      <c r="L26" s="66">
        <f t="shared" si="0"/>
        <v>0</v>
      </c>
      <c r="N26" s="66">
        <f t="shared" si="1"/>
        <v>0</v>
      </c>
      <c r="O26" s="66">
        <f t="shared" si="2"/>
        <v>0</v>
      </c>
    </row>
    <row r="27" spans="4:15" ht="12.75">
      <c r="D27" t="s">
        <v>608</v>
      </c>
      <c r="F27">
        <v>55</v>
      </c>
      <c r="G27" t="s">
        <v>609</v>
      </c>
      <c r="K27" s="72"/>
      <c r="L27" s="66">
        <f t="shared" si="0"/>
        <v>0</v>
      </c>
      <c r="N27" s="66">
        <f t="shared" si="1"/>
        <v>0</v>
      </c>
      <c r="O27" s="66">
        <f t="shared" si="2"/>
        <v>0</v>
      </c>
    </row>
    <row r="28" spans="4:15" ht="12.75">
      <c r="D28" t="s">
        <v>610</v>
      </c>
      <c r="F28">
        <v>400</v>
      </c>
      <c r="G28" t="s">
        <v>611</v>
      </c>
      <c r="K28" s="72"/>
      <c r="L28" s="66">
        <f t="shared" si="0"/>
        <v>0</v>
      </c>
      <c r="N28" s="66">
        <f t="shared" si="1"/>
        <v>0</v>
      </c>
      <c r="O28" s="66">
        <f t="shared" si="2"/>
        <v>0</v>
      </c>
    </row>
    <row r="29" spans="4:15" ht="12.75">
      <c r="D29" t="s">
        <v>612</v>
      </c>
      <c r="F29" t="s">
        <v>613</v>
      </c>
      <c r="K29" s="72"/>
      <c r="L29" s="66">
        <f t="shared" si="0"/>
        <v>0</v>
      </c>
      <c r="N29" s="66">
        <f t="shared" si="1"/>
        <v>0</v>
      </c>
      <c r="O29" s="66">
        <f t="shared" si="2"/>
        <v>0</v>
      </c>
    </row>
    <row r="30" spans="4:15" ht="12.75">
      <c r="D30" t="s">
        <v>614</v>
      </c>
      <c r="F30">
        <v>370</v>
      </c>
      <c r="G30" t="s">
        <v>615</v>
      </c>
      <c r="I30">
        <v>1</v>
      </c>
      <c r="J30" t="s">
        <v>616</v>
      </c>
      <c r="K30" s="72">
        <v>0</v>
      </c>
      <c r="L30" s="66">
        <f t="shared" si="0"/>
        <v>0</v>
      </c>
      <c r="M30" s="66">
        <v>0</v>
      </c>
      <c r="N30" s="66">
        <f t="shared" si="1"/>
        <v>0</v>
      </c>
      <c r="O30" s="66">
        <f t="shared" si="2"/>
        <v>0</v>
      </c>
    </row>
    <row r="31" spans="11:15" ht="12.75">
      <c r="K31" s="72"/>
      <c r="L31" s="66">
        <f t="shared" si="0"/>
        <v>0</v>
      </c>
      <c r="N31" s="66">
        <f t="shared" si="1"/>
        <v>0</v>
      </c>
      <c r="O31" s="66">
        <f t="shared" si="2"/>
        <v>0</v>
      </c>
    </row>
    <row r="32" spans="1:15" ht="12.75">
      <c r="A32" t="s">
        <v>618</v>
      </c>
      <c r="B32" t="s">
        <v>619</v>
      </c>
      <c r="L32" s="66">
        <f t="shared" si="0"/>
        <v>0</v>
      </c>
      <c r="N32" s="66">
        <f t="shared" si="1"/>
        <v>0</v>
      </c>
      <c r="O32" s="66">
        <f t="shared" si="2"/>
        <v>0</v>
      </c>
    </row>
    <row r="33" spans="4:15" ht="12.75">
      <c r="D33" t="s">
        <v>620</v>
      </c>
      <c r="F33" t="s">
        <v>621</v>
      </c>
      <c r="G33" t="s">
        <v>600</v>
      </c>
      <c r="L33" s="66">
        <f t="shared" si="0"/>
        <v>0</v>
      </c>
      <c r="N33" s="66">
        <f t="shared" si="1"/>
        <v>0</v>
      </c>
      <c r="O33" s="66">
        <f t="shared" si="2"/>
        <v>0</v>
      </c>
    </row>
    <row r="34" spans="4:15" ht="12.75">
      <c r="D34" t="s">
        <v>610</v>
      </c>
      <c r="F34">
        <v>400</v>
      </c>
      <c r="G34" t="s">
        <v>611</v>
      </c>
      <c r="I34">
        <v>1</v>
      </c>
      <c r="J34" t="s">
        <v>616</v>
      </c>
      <c r="K34" s="66">
        <v>0</v>
      </c>
      <c r="L34" s="66">
        <f t="shared" si="0"/>
        <v>0</v>
      </c>
      <c r="M34" s="66">
        <v>0</v>
      </c>
      <c r="N34" s="66">
        <f t="shared" si="1"/>
        <v>0</v>
      </c>
      <c r="O34" s="66">
        <f t="shared" si="2"/>
        <v>0</v>
      </c>
    </row>
    <row r="35" spans="12:15" ht="12.75">
      <c r="L35" s="66">
        <f t="shared" si="0"/>
        <v>0</v>
      </c>
      <c r="N35" s="66">
        <f t="shared" si="1"/>
        <v>0</v>
      </c>
      <c r="O35" s="66">
        <f t="shared" si="2"/>
        <v>0</v>
      </c>
    </row>
    <row r="36" spans="1:15" ht="12.75">
      <c r="A36" t="s">
        <v>622</v>
      </c>
      <c r="B36" t="s">
        <v>623</v>
      </c>
      <c r="L36" s="66">
        <f t="shared" si="0"/>
        <v>0</v>
      </c>
      <c r="N36" s="66">
        <f t="shared" si="1"/>
        <v>0</v>
      </c>
      <c r="O36" s="66">
        <f t="shared" si="2"/>
        <v>0</v>
      </c>
    </row>
    <row r="37" spans="5:15" ht="12.75">
      <c r="E37" t="s">
        <v>624</v>
      </c>
      <c r="F37">
        <v>750</v>
      </c>
      <c r="G37" t="s">
        <v>625</v>
      </c>
      <c r="I37">
        <v>1</v>
      </c>
      <c r="J37" t="s">
        <v>616</v>
      </c>
      <c r="K37" s="66">
        <v>0</v>
      </c>
      <c r="L37" s="66">
        <f t="shared" si="0"/>
        <v>0</v>
      </c>
      <c r="M37" s="66">
        <v>0</v>
      </c>
      <c r="N37" s="66">
        <f t="shared" si="1"/>
        <v>0</v>
      </c>
      <c r="O37" s="66">
        <f t="shared" si="2"/>
        <v>0</v>
      </c>
    </row>
    <row r="38" spans="12:15" ht="12.75">
      <c r="L38" s="66">
        <f t="shared" si="0"/>
        <v>0</v>
      </c>
      <c r="N38" s="66">
        <f t="shared" si="1"/>
        <v>0</v>
      </c>
      <c r="O38" s="66">
        <f t="shared" si="2"/>
        <v>0</v>
      </c>
    </row>
    <row r="39" spans="1:15" ht="12.75">
      <c r="A39" t="s">
        <v>626</v>
      </c>
      <c r="B39" t="s">
        <v>627</v>
      </c>
      <c r="L39" s="66">
        <f t="shared" si="0"/>
        <v>0</v>
      </c>
      <c r="N39" s="66">
        <f t="shared" si="1"/>
        <v>0</v>
      </c>
      <c r="O39" s="66">
        <f t="shared" si="2"/>
        <v>0</v>
      </c>
    </row>
    <row r="40" spans="5:15" ht="12.75">
      <c r="E40" t="s">
        <v>624</v>
      </c>
      <c r="F40">
        <v>400</v>
      </c>
      <c r="G40" t="s">
        <v>625</v>
      </c>
      <c r="I40">
        <v>1</v>
      </c>
      <c r="J40" t="s">
        <v>616</v>
      </c>
      <c r="K40" s="66">
        <v>0</v>
      </c>
      <c r="L40" s="66">
        <f t="shared" si="0"/>
        <v>0</v>
      </c>
      <c r="M40" s="66">
        <v>0</v>
      </c>
      <c r="N40" s="66">
        <f t="shared" si="1"/>
        <v>0</v>
      </c>
      <c r="O40" s="66">
        <f t="shared" si="2"/>
        <v>0</v>
      </c>
    </row>
    <row r="41" spans="12:15" ht="12.75">
      <c r="L41" s="66">
        <f t="shared" si="0"/>
        <v>0</v>
      </c>
      <c r="N41" s="66">
        <f t="shared" si="1"/>
        <v>0</v>
      </c>
      <c r="O41" s="66">
        <f t="shared" si="2"/>
        <v>0</v>
      </c>
    </row>
    <row r="42" spans="1:15" ht="12.75">
      <c r="A42" t="s">
        <v>628</v>
      </c>
      <c r="B42" t="s">
        <v>629</v>
      </c>
      <c r="L42" s="66">
        <f t="shared" si="0"/>
        <v>0</v>
      </c>
      <c r="N42" s="66">
        <f t="shared" si="1"/>
        <v>0</v>
      </c>
      <c r="O42" s="66">
        <f t="shared" si="2"/>
        <v>0</v>
      </c>
    </row>
    <row r="43" spans="3:15" ht="12.75">
      <c r="C43" t="s">
        <v>630</v>
      </c>
      <c r="L43" s="66">
        <f t="shared" si="0"/>
        <v>0</v>
      </c>
      <c r="N43" s="66">
        <f t="shared" si="1"/>
        <v>0</v>
      </c>
      <c r="O43" s="66">
        <f t="shared" si="2"/>
        <v>0</v>
      </c>
    </row>
    <row r="44" spans="4:15" ht="12.75">
      <c r="D44" t="s">
        <v>631</v>
      </c>
      <c r="F44">
        <v>6</v>
      </c>
      <c r="G44" t="s">
        <v>632</v>
      </c>
      <c r="L44" s="66">
        <f t="shared" si="0"/>
        <v>0</v>
      </c>
      <c r="N44" s="66">
        <f t="shared" si="1"/>
        <v>0</v>
      </c>
      <c r="O44" s="66">
        <f t="shared" si="2"/>
        <v>0</v>
      </c>
    </row>
    <row r="45" spans="4:15" ht="12.75">
      <c r="D45" t="s">
        <v>633</v>
      </c>
      <c r="F45">
        <v>6</v>
      </c>
      <c r="G45" t="s">
        <v>243</v>
      </c>
      <c r="L45" s="66">
        <f t="shared" si="0"/>
        <v>0</v>
      </c>
      <c r="N45" s="66">
        <f t="shared" si="1"/>
        <v>0</v>
      </c>
      <c r="O45" s="66">
        <f t="shared" si="2"/>
        <v>0</v>
      </c>
    </row>
    <row r="46" spans="4:15" ht="12.75">
      <c r="D46" t="s">
        <v>634</v>
      </c>
      <c r="F46">
        <v>340</v>
      </c>
      <c r="G46" t="s">
        <v>635</v>
      </c>
      <c r="L46" s="66">
        <f t="shared" si="0"/>
        <v>0</v>
      </c>
      <c r="N46" s="66">
        <f t="shared" si="1"/>
        <v>0</v>
      </c>
      <c r="O46" s="66">
        <f t="shared" si="2"/>
        <v>0</v>
      </c>
    </row>
    <row r="47" spans="4:15" ht="12.75">
      <c r="D47" t="s">
        <v>636</v>
      </c>
      <c r="F47">
        <v>230</v>
      </c>
      <c r="G47" t="s">
        <v>611</v>
      </c>
      <c r="I47">
        <v>1</v>
      </c>
      <c r="J47" t="s">
        <v>616</v>
      </c>
      <c r="K47" s="66">
        <v>0</v>
      </c>
      <c r="L47" s="66">
        <f t="shared" si="0"/>
        <v>0</v>
      </c>
      <c r="M47" s="66">
        <v>0</v>
      </c>
      <c r="N47" s="66">
        <f t="shared" si="1"/>
        <v>0</v>
      </c>
      <c r="O47" s="66">
        <f t="shared" si="2"/>
        <v>0</v>
      </c>
    </row>
    <row r="48" spans="1:15" ht="12.75">
      <c r="A48" s="73"/>
      <c r="B48" s="74"/>
      <c r="C48" s="75"/>
      <c r="D48" s="74"/>
      <c r="E48" s="74"/>
      <c r="F48" s="74"/>
      <c r="G48" s="74"/>
      <c r="H48" s="74"/>
      <c r="I48" s="74"/>
      <c r="J48" s="76"/>
      <c r="K48" s="76"/>
      <c r="L48" s="66">
        <f t="shared" si="0"/>
        <v>0</v>
      </c>
      <c r="N48" s="66">
        <f t="shared" si="1"/>
        <v>0</v>
      </c>
      <c r="O48" s="66">
        <f t="shared" si="2"/>
        <v>0</v>
      </c>
    </row>
    <row r="49" spans="1:15" ht="12.75">
      <c r="A49" s="73" t="s">
        <v>637</v>
      </c>
      <c r="B49" s="74" t="s">
        <v>638</v>
      </c>
      <c r="C49" s="75"/>
      <c r="D49" s="74"/>
      <c r="E49" s="77"/>
      <c r="F49" s="74"/>
      <c r="G49" s="74"/>
      <c r="H49" s="74"/>
      <c r="I49" s="74"/>
      <c r="J49" s="76"/>
      <c r="K49" s="76"/>
      <c r="L49" s="66">
        <f t="shared" si="0"/>
        <v>0</v>
      </c>
      <c r="N49" s="66">
        <f t="shared" si="1"/>
        <v>0</v>
      </c>
      <c r="O49" s="66">
        <f t="shared" si="2"/>
        <v>0</v>
      </c>
    </row>
    <row r="50" spans="1:15" ht="12.75">
      <c r="A50" s="73"/>
      <c r="B50" s="74"/>
      <c r="C50" s="75"/>
      <c r="D50" s="74" t="s">
        <v>639</v>
      </c>
      <c r="E50" s="77"/>
      <c r="F50" s="74"/>
      <c r="G50" s="74"/>
      <c r="H50" s="74"/>
      <c r="I50" s="74">
        <v>2</v>
      </c>
      <c r="J50" s="74" t="s">
        <v>616</v>
      </c>
      <c r="K50" s="76">
        <v>0</v>
      </c>
      <c r="L50" s="66">
        <f t="shared" si="0"/>
        <v>0</v>
      </c>
      <c r="M50" s="66">
        <v>0</v>
      </c>
      <c r="N50" s="66">
        <f t="shared" si="1"/>
        <v>0</v>
      </c>
      <c r="O50" s="66">
        <f t="shared" si="2"/>
        <v>0</v>
      </c>
    </row>
    <row r="51" spans="1:15" ht="12.75">
      <c r="A51" s="73"/>
      <c r="B51" s="74"/>
      <c r="C51" s="75"/>
      <c r="D51" s="74"/>
      <c r="E51" s="74"/>
      <c r="F51" s="74"/>
      <c r="G51" s="74"/>
      <c r="H51" s="74"/>
      <c r="I51" s="74"/>
      <c r="J51" s="74"/>
      <c r="K51" s="76"/>
      <c r="L51" s="66">
        <f t="shared" si="0"/>
        <v>0</v>
      </c>
      <c r="N51" s="66">
        <f t="shared" si="1"/>
        <v>0</v>
      </c>
      <c r="O51" s="66">
        <f t="shared" si="2"/>
        <v>0</v>
      </c>
    </row>
    <row r="52" spans="1:15" ht="12.75">
      <c r="A52" s="73" t="s">
        <v>640</v>
      </c>
      <c r="B52" s="74" t="s">
        <v>641</v>
      </c>
      <c r="C52" s="75"/>
      <c r="D52" s="74"/>
      <c r="E52" s="74"/>
      <c r="F52" s="74"/>
      <c r="G52" s="74"/>
      <c r="H52" s="74"/>
      <c r="I52" s="74"/>
      <c r="J52" s="74"/>
      <c r="K52" s="76"/>
      <c r="L52" s="66">
        <f t="shared" si="0"/>
        <v>0</v>
      </c>
      <c r="N52" s="66">
        <f t="shared" si="1"/>
        <v>0</v>
      </c>
      <c r="O52" s="66">
        <f t="shared" si="2"/>
        <v>0</v>
      </c>
    </row>
    <row r="53" spans="1:15" ht="12.75">
      <c r="A53" s="78"/>
      <c r="B53" s="79"/>
      <c r="C53" s="80"/>
      <c r="D53" s="79" t="s">
        <v>642</v>
      </c>
      <c r="E53" s="79"/>
      <c r="F53" s="79"/>
      <c r="G53" s="79"/>
      <c r="H53" s="79"/>
      <c r="I53" s="79">
        <v>2</v>
      </c>
      <c r="J53" s="79" t="s">
        <v>616</v>
      </c>
      <c r="K53" s="76">
        <v>0</v>
      </c>
      <c r="L53" s="66">
        <f t="shared" si="0"/>
        <v>0</v>
      </c>
      <c r="M53" s="66">
        <v>0</v>
      </c>
      <c r="N53" s="66">
        <f t="shared" si="1"/>
        <v>0</v>
      </c>
      <c r="O53" s="66">
        <f t="shared" si="2"/>
        <v>0</v>
      </c>
    </row>
    <row r="54" spans="1:15" ht="12.75">
      <c r="A54" s="78"/>
      <c r="B54" s="79"/>
      <c r="C54" s="80"/>
      <c r="D54" s="79"/>
      <c r="E54" s="79"/>
      <c r="F54" s="79"/>
      <c r="G54" s="79"/>
      <c r="H54" s="79"/>
      <c r="I54" s="79"/>
      <c r="J54" s="79"/>
      <c r="K54" s="76"/>
      <c r="L54" s="66">
        <f t="shared" si="0"/>
        <v>0</v>
      </c>
      <c r="N54" s="66">
        <f t="shared" si="1"/>
        <v>0</v>
      </c>
      <c r="O54" s="66">
        <f t="shared" si="2"/>
        <v>0</v>
      </c>
    </row>
    <row r="55" spans="1:15" ht="12.75">
      <c r="A55" s="78" t="s">
        <v>643</v>
      </c>
      <c r="B55" s="79" t="s">
        <v>644</v>
      </c>
      <c r="C55" s="80"/>
      <c r="D55" s="79"/>
      <c r="E55" s="79"/>
      <c r="F55" s="79"/>
      <c r="G55" s="79"/>
      <c r="H55" s="79"/>
      <c r="I55" s="79"/>
      <c r="J55" s="79"/>
      <c r="K55" s="76"/>
      <c r="L55" s="66">
        <f t="shared" si="0"/>
        <v>0</v>
      </c>
      <c r="N55" s="66">
        <f t="shared" si="1"/>
        <v>0</v>
      </c>
      <c r="O55" s="66">
        <f t="shared" si="2"/>
        <v>0</v>
      </c>
    </row>
    <row r="56" spans="1:15" ht="12.75">
      <c r="A56" s="78"/>
      <c r="B56" s="79"/>
      <c r="C56" s="79" t="s">
        <v>645</v>
      </c>
      <c r="D56" s="79"/>
      <c r="E56" s="79"/>
      <c r="F56" s="79"/>
      <c r="G56" s="79"/>
      <c r="H56" s="79"/>
      <c r="I56" s="79"/>
      <c r="J56" s="79"/>
      <c r="K56" s="76"/>
      <c r="L56" s="66">
        <f t="shared" si="0"/>
        <v>0</v>
      </c>
      <c r="N56" s="66">
        <f t="shared" si="1"/>
        <v>0</v>
      </c>
      <c r="O56" s="66">
        <f t="shared" si="2"/>
        <v>0</v>
      </c>
    </row>
    <row r="57" spans="1:15" ht="12.75">
      <c r="A57" s="81"/>
      <c r="B57" s="82"/>
      <c r="C57" s="83"/>
      <c r="D57" s="84"/>
      <c r="E57" s="82" t="s">
        <v>646</v>
      </c>
      <c r="F57" s="79"/>
      <c r="G57" s="79"/>
      <c r="H57" s="82"/>
      <c r="I57" s="82">
        <v>4</v>
      </c>
      <c r="J57" s="84" t="s">
        <v>616</v>
      </c>
      <c r="K57" s="76">
        <v>0</v>
      </c>
      <c r="L57" s="66">
        <f t="shared" si="0"/>
        <v>0</v>
      </c>
      <c r="M57" s="66">
        <v>0</v>
      </c>
      <c r="N57" s="66">
        <f t="shared" si="1"/>
        <v>0</v>
      </c>
      <c r="O57" s="66">
        <f t="shared" si="2"/>
        <v>0</v>
      </c>
    </row>
    <row r="58" spans="1:15" ht="12.75">
      <c r="A58" s="85"/>
      <c r="B58" s="85"/>
      <c r="C58" s="85"/>
      <c r="D58" s="85"/>
      <c r="E58" s="85"/>
      <c r="F58" s="85"/>
      <c r="G58" s="85"/>
      <c r="H58" s="85"/>
      <c r="I58" s="85"/>
      <c r="J58" s="85"/>
      <c r="L58" s="66">
        <f t="shared" si="0"/>
        <v>0</v>
      </c>
      <c r="N58" s="66">
        <f t="shared" si="1"/>
        <v>0</v>
      </c>
      <c r="O58" s="66">
        <f t="shared" si="2"/>
        <v>0</v>
      </c>
    </row>
    <row r="59" spans="1:15" ht="12.75">
      <c r="A59" s="85" t="s">
        <v>647</v>
      </c>
      <c r="B59" s="85" t="s">
        <v>648</v>
      </c>
      <c r="C59" s="85"/>
      <c r="D59" s="85"/>
      <c r="E59" s="85"/>
      <c r="F59" s="85"/>
      <c r="G59" s="85"/>
      <c r="H59" s="85"/>
      <c r="I59" s="85"/>
      <c r="J59" s="85"/>
      <c r="L59" s="66">
        <f t="shared" si="0"/>
        <v>0</v>
      </c>
      <c r="N59" s="66">
        <f t="shared" si="1"/>
        <v>0</v>
      </c>
      <c r="O59" s="66">
        <f t="shared" si="2"/>
        <v>0</v>
      </c>
    </row>
    <row r="60" spans="3:15" ht="12.75">
      <c r="C60" t="s">
        <v>649</v>
      </c>
      <c r="I60">
        <v>1</v>
      </c>
      <c r="J60" t="s">
        <v>616</v>
      </c>
      <c r="K60" s="66">
        <v>0</v>
      </c>
      <c r="L60" s="66">
        <f t="shared" si="0"/>
        <v>0</v>
      </c>
      <c r="M60" s="66">
        <v>0</v>
      </c>
      <c r="N60" s="66">
        <f t="shared" si="1"/>
        <v>0</v>
      </c>
      <c r="O60" s="66">
        <f t="shared" si="2"/>
        <v>0</v>
      </c>
    </row>
    <row r="61" spans="12:15" ht="12.75">
      <c r="L61" s="66">
        <f t="shared" si="0"/>
        <v>0</v>
      </c>
      <c r="N61" s="66">
        <f t="shared" si="1"/>
        <v>0</v>
      </c>
      <c r="O61" s="66">
        <f t="shared" si="2"/>
        <v>0</v>
      </c>
    </row>
    <row r="62" spans="1:15" ht="12.75">
      <c r="A62" t="s">
        <v>650</v>
      </c>
      <c r="B62" t="s">
        <v>651</v>
      </c>
      <c r="L62" s="66">
        <f t="shared" si="0"/>
        <v>0</v>
      </c>
      <c r="N62" s="66">
        <f t="shared" si="1"/>
        <v>0</v>
      </c>
      <c r="O62" s="66">
        <f t="shared" si="2"/>
        <v>0</v>
      </c>
    </row>
    <row r="63" spans="5:15" ht="12.75">
      <c r="E63" t="s">
        <v>624</v>
      </c>
      <c r="F63">
        <v>33</v>
      </c>
      <c r="G63" t="s">
        <v>625</v>
      </c>
      <c r="I63">
        <v>1</v>
      </c>
      <c r="J63" t="s">
        <v>616</v>
      </c>
      <c r="K63" s="66">
        <v>0</v>
      </c>
      <c r="L63" s="66">
        <f t="shared" si="0"/>
        <v>0</v>
      </c>
      <c r="M63" s="66">
        <v>0</v>
      </c>
      <c r="N63" s="66">
        <f t="shared" si="1"/>
        <v>0</v>
      </c>
      <c r="O63" s="66">
        <f t="shared" si="2"/>
        <v>0</v>
      </c>
    </row>
    <row r="64" spans="12:15" ht="12.75">
      <c r="L64" s="66">
        <f t="shared" si="0"/>
        <v>0</v>
      </c>
      <c r="N64" s="66">
        <f t="shared" si="1"/>
        <v>0</v>
      </c>
      <c r="O64" s="66">
        <f t="shared" si="2"/>
        <v>0</v>
      </c>
    </row>
    <row r="65" spans="1:15" ht="12.75">
      <c r="A65" t="s">
        <v>652</v>
      </c>
      <c r="B65" t="s">
        <v>653</v>
      </c>
      <c r="L65" s="66">
        <f t="shared" si="0"/>
        <v>0</v>
      </c>
      <c r="N65" s="66">
        <f t="shared" si="1"/>
        <v>0</v>
      </c>
      <c r="O65" s="66">
        <f t="shared" si="2"/>
        <v>0</v>
      </c>
    </row>
    <row r="66" spans="3:15" ht="12.75">
      <c r="C66" t="s">
        <v>654</v>
      </c>
      <c r="L66" s="66">
        <f t="shared" si="0"/>
        <v>0</v>
      </c>
      <c r="N66" s="66">
        <f t="shared" si="1"/>
        <v>0</v>
      </c>
      <c r="O66" s="66">
        <f t="shared" si="2"/>
        <v>0</v>
      </c>
    </row>
    <row r="67" spans="3:15" ht="12.75">
      <c r="C67" t="s">
        <v>655</v>
      </c>
      <c r="I67">
        <v>1</v>
      </c>
      <c r="J67" t="s">
        <v>616</v>
      </c>
      <c r="K67" s="66">
        <v>0</v>
      </c>
      <c r="L67" s="66">
        <f t="shared" si="0"/>
        <v>0</v>
      </c>
      <c r="M67" s="66">
        <v>0</v>
      </c>
      <c r="N67" s="66">
        <f t="shared" si="1"/>
        <v>0</v>
      </c>
      <c r="O67" s="66">
        <f t="shared" si="2"/>
        <v>0</v>
      </c>
    </row>
    <row r="68" spans="12:15" ht="12.75">
      <c r="L68" s="66">
        <f t="shared" si="0"/>
        <v>0</v>
      </c>
      <c r="N68" s="66">
        <f t="shared" si="1"/>
        <v>0</v>
      </c>
      <c r="O68" s="66">
        <f t="shared" si="2"/>
        <v>0</v>
      </c>
    </row>
    <row r="69" spans="1:15" ht="12" customHeight="1">
      <c r="A69" s="71" t="s">
        <v>656</v>
      </c>
      <c r="L69" s="66">
        <f t="shared" si="0"/>
        <v>0</v>
      </c>
      <c r="N69" s="66">
        <f t="shared" si="1"/>
        <v>0</v>
      </c>
      <c r="O69" s="66">
        <f t="shared" si="2"/>
        <v>0</v>
      </c>
    </row>
    <row r="70" spans="1:15" ht="12.75">
      <c r="A70" t="s">
        <v>596</v>
      </c>
      <c r="B70" t="s">
        <v>657</v>
      </c>
      <c r="L70" s="66">
        <f t="shared" si="0"/>
        <v>0</v>
      </c>
      <c r="N70" s="66">
        <f t="shared" si="1"/>
        <v>0</v>
      </c>
      <c r="O70" s="66">
        <f t="shared" si="2"/>
        <v>0</v>
      </c>
    </row>
    <row r="71" spans="4:15" ht="12.75">
      <c r="D71" t="s">
        <v>658</v>
      </c>
      <c r="I71">
        <v>4</v>
      </c>
      <c r="J71" t="s">
        <v>616</v>
      </c>
      <c r="K71" s="66">
        <v>0</v>
      </c>
      <c r="L71" s="66">
        <f t="shared" si="0"/>
        <v>0</v>
      </c>
      <c r="M71" s="66">
        <v>0</v>
      </c>
      <c r="N71" s="66">
        <f t="shared" si="1"/>
        <v>0</v>
      </c>
      <c r="O71" s="66">
        <f t="shared" si="2"/>
        <v>0</v>
      </c>
    </row>
    <row r="72" spans="4:15" ht="12.75">
      <c r="D72" t="s">
        <v>649</v>
      </c>
      <c r="I72">
        <v>15</v>
      </c>
      <c r="J72" t="s">
        <v>616</v>
      </c>
      <c r="K72" s="66">
        <v>0</v>
      </c>
      <c r="L72" s="66">
        <f t="shared" si="0"/>
        <v>0</v>
      </c>
      <c r="M72" s="66">
        <v>0</v>
      </c>
      <c r="N72" s="66">
        <f t="shared" si="1"/>
        <v>0</v>
      </c>
      <c r="O72" s="66">
        <f t="shared" si="2"/>
        <v>0</v>
      </c>
    </row>
    <row r="73" spans="12:15" ht="12.75">
      <c r="L73" s="66">
        <f t="shared" si="0"/>
        <v>0</v>
      </c>
      <c r="N73" s="66">
        <f t="shared" si="1"/>
        <v>0</v>
      </c>
      <c r="O73" s="66">
        <f t="shared" si="2"/>
        <v>0</v>
      </c>
    </row>
    <row r="74" spans="1:15" ht="12.75">
      <c r="A74" t="s">
        <v>617</v>
      </c>
      <c r="B74" t="s">
        <v>659</v>
      </c>
      <c r="L74" s="66">
        <f t="shared" si="0"/>
        <v>0</v>
      </c>
      <c r="N74" s="66">
        <f t="shared" si="1"/>
        <v>0</v>
      </c>
      <c r="O74" s="66">
        <f t="shared" si="2"/>
        <v>0</v>
      </c>
    </row>
    <row r="75" spans="4:15" ht="12.75">
      <c r="D75" t="s">
        <v>649</v>
      </c>
      <c r="I75">
        <v>1</v>
      </c>
      <c r="J75" t="s">
        <v>616</v>
      </c>
      <c r="K75" s="66">
        <v>0</v>
      </c>
      <c r="L75" s="66">
        <f t="shared" si="0"/>
        <v>0</v>
      </c>
      <c r="M75" s="66">
        <v>0</v>
      </c>
      <c r="N75" s="66">
        <f t="shared" si="1"/>
        <v>0</v>
      </c>
      <c r="O75" s="66">
        <f t="shared" si="2"/>
        <v>0</v>
      </c>
    </row>
    <row r="76" spans="12:15" ht="12.75">
      <c r="L76" s="66">
        <f t="shared" si="0"/>
        <v>0</v>
      </c>
      <c r="N76" s="66">
        <f t="shared" si="1"/>
        <v>0</v>
      </c>
      <c r="O76" s="66">
        <f t="shared" si="2"/>
        <v>0</v>
      </c>
    </row>
    <row r="77" spans="1:15" ht="12.75">
      <c r="A77" t="s">
        <v>618</v>
      </c>
      <c r="B77" t="s">
        <v>660</v>
      </c>
      <c r="L77" s="66">
        <f t="shared" si="0"/>
        <v>0</v>
      </c>
      <c r="N77" s="66">
        <f t="shared" si="1"/>
        <v>0</v>
      </c>
      <c r="O77" s="66">
        <f t="shared" si="2"/>
        <v>0</v>
      </c>
    </row>
    <row r="78" spans="4:15" ht="12.75">
      <c r="D78" t="s">
        <v>661</v>
      </c>
      <c r="I78">
        <v>1</v>
      </c>
      <c r="J78" t="s">
        <v>616</v>
      </c>
      <c r="K78" s="66">
        <v>0</v>
      </c>
      <c r="L78" s="66">
        <f t="shared" si="0"/>
        <v>0</v>
      </c>
      <c r="M78" s="66">
        <v>0</v>
      </c>
      <c r="N78" s="66">
        <f t="shared" si="1"/>
        <v>0</v>
      </c>
      <c r="O78" s="66">
        <f t="shared" si="2"/>
        <v>0</v>
      </c>
    </row>
    <row r="79" spans="4:15" ht="12.75">
      <c r="D79" t="s">
        <v>662</v>
      </c>
      <c r="I79">
        <v>1</v>
      </c>
      <c r="J79" t="s">
        <v>616</v>
      </c>
      <c r="K79" s="66">
        <v>0</v>
      </c>
      <c r="L79" s="66">
        <f t="shared" si="0"/>
        <v>0</v>
      </c>
      <c r="M79" s="66">
        <v>0</v>
      </c>
      <c r="N79" s="66">
        <f t="shared" si="1"/>
        <v>0</v>
      </c>
      <c r="O79" s="66">
        <f t="shared" si="2"/>
        <v>0</v>
      </c>
    </row>
    <row r="80" spans="12:15" ht="12.75">
      <c r="L80" s="66">
        <f t="shared" si="0"/>
        <v>0</v>
      </c>
      <c r="N80" s="66">
        <f t="shared" si="1"/>
        <v>0</v>
      </c>
      <c r="O80" s="66">
        <f t="shared" si="2"/>
        <v>0</v>
      </c>
    </row>
    <row r="81" spans="1:15" ht="12.75">
      <c r="A81" t="s">
        <v>618</v>
      </c>
      <c r="B81" t="s">
        <v>663</v>
      </c>
      <c r="L81" s="66">
        <f t="shared" si="0"/>
        <v>0</v>
      </c>
      <c r="N81" s="66">
        <f t="shared" si="1"/>
        <v>0</v>
      </c>
      <c r="O81" s="66">
        <f t="shared" si="2"/>
        <v>0</v>
      </c>
    </row>
    <row r="82" spans="4:15" ht="12.75">
      <c r="D82" t="s">
        <v>649</v>
      </c>
      <c r="I82">
        <v>1</v>
      </c>
      <c r="J82" t="s">
        <v>616</v>
      </c>
      <c r="K82" s="66">
        <v>0</v>
      </c>
      <c r="L82" s="66">
        <f t="shared" si="0"/>
        <v>0</v>
      </c>
      <c r="M82" s="66">
        <v>0</v>
      </c>
      <c r="N82" s="66">
        <f t="shared" si="1"/>
        <v>0</v>
      </c>
      <c r="O82" s="66">
        <f t="shared" si="2"/>
        <v>0</v>
      </c>
    </row>
    <row r="83" spans="12:15" ht="12.75">
      <c r="L83" s="66">
        <f t="shared" si="0"/>
        <v>0</v>
      </c>
      <c r="N83" s="66">
        <f t="shared" si="1"/>
        <v>0</v>
      </c>
      <c r="O83" s="66">
        <f t="shared" si="2"/>
        <v>0</v>
      </c>
    </row>
    <row r="84" spans="1:15" ht="12.75">
      <c r="A84" t="s">
        <v>622</v>
      </c>
      <c r="B84" t="s">
        <v>664</v>
      </c>
      <c r="L84" s="66">
        <f t="shared" si="0"/>
        <v>0</v>
      </c>
      <c r="N84" s="66">
        <f t="shared" si="1"/>
        <v>0</v>
      </c>
      <c r="O84" s="66">
        <f t="shared" si="2"/>
        <v>0</v>
      </c>
    </row>
    <row r="85" spans="4:15" ht="12.75">
      <c r="D85" t="s">
        <v>658</v>
      </c>
      <c r="I85">
        <v>2</v>
      </c>
      <c r="J85" t="s">
        <v>616</v>
      </c>
      <c r="K85" s="66">
        <v>0</v>
      </c>
      <c r="L85" s="66">
        <f t="shared" si="0"/>
        <v>0</v>
      </c>
      <c r="M85" s="66">
        <v>0</v>
      </c>
      <c r="N85" s="66">
        <f t="shared" si="1"/>
        <v>0</v>
      </c>
      <c r="O85" s="66">
        <f t="shared" si="2"/>
        <v>0</v>
      </c>
    </row>
    <row r="86" spans="4:15" ht="12.75">
      <c r="D86" t="s">
        <v>649</v>
      </c>
      <c r="I86">
        <v>3</v>
      </c>
      <c r="J86" t="s">
        <v>616</v>
      </c>
      <c r="K86" s="66">
        <v>0</v>
      </c>
      <c r="L86" s="66">
        <f t="shared" si="0"/>
        <v>0</v>
      </c>
      <c r="M86" s="66">
        <v>0</v>
      </c>
      <c r="N86" s="66">
        <f t="shared" si="1"/>
        <v>0</v>
      </c>
      <c r="O86" s="66">
        <f t="shared" si="2"/>
        <v>0</v>
      </c>
    </row>
    <row r="87" spans="12:15" ht="12.75">
      <c r="L87" s="66">
        <f t="shared" si="0"/>
        <v>0</v>
      </c>
      <c r="N87" s="66">
        <f t="shared" si="1"/>
        <v>0</v>
      </c>
      <c r="O87" s="66">
        <f t="shared" si="2"/>
        <v>0</v>
      </c>
    </row>
    <row r="88" spans="1:15" ht="12.75">
      <c r="A88" t="s">
        <v>626</v>
      </c>
      <c r="B88" t="s">
        <v>665</v>
      </c>
      <c r="L88" s="66">
        <f t="shared" si="0"/>
        <v>0</v>
      </c>
      <c r="N88" s="66">
        <f t="shared" si="1"/>
        <v>0</v>
      </c>
      <c r="O88" s="66">
        <f t="shared" si="2"/>
        <v>0</v>
      </c>
    </row>
    <row r="89" spans="4:15" ht="12.75">
      <c r="D89" t="s">
        <v>666</v>
      </c>
      <c r="I89">
        <v>23</v>
      </c>
      <c r="J89" t="s">
        <v>616</v>
      </c>
      <c r="K89" s="66">
        <v>0</v>
      </c>
      <c r="L89" s="66">
        <f t="shared" si="0"/>
        <v>0</v>
      </c>
      <c r="M89" s="66">
        <v>0</v>
      </c>
      <c r="N89" s="66">
        <f t="shared" si="1"/>
        <v>0</v>
      </c>
      <c r="O89" s="66">
        <f t="shared" si="2"/>
        <v>0</v>
      </c>
    </row>
    <row r="90" spans="12:15" ht="12.75">
      <c r="L90" s="66">
        <f t="shared" si="0"/>
        <v>0</v>
      </c>
      <c r="N90" s="66">
        <f t="shared" si="1"/>
        <v>0</v>
      </c>
      <c r="O90" s="66">
        <f t="shared" si="2"/>
        <v>0</v>
      </c>
    </row>
    <row r="91" spans="1:15" ht="12.75">
      <c r="A91" t="s">
        <v>628</v>
      </c>
      <c r="B91" t="s">
        <v>667</v>
      </c>
      <c r="L91" s="66">
        <f t="shared" si="0"/>
        <v>0</v>
      </c>
      <c r="N91" s="66">
        <f t="shared" si="1"/>
        <v>0</v>
      </c>
      <c r="O91" s="66">
        <f t="shared" si="2"/>
        <v>0</v>
      </c>
    </row>
    <row r="92" spans="4:15" ht="12.75">
      <c r="D92" t="s">
        <v>666</v>
      </c>
      <c r="I92">
        <v>15</v>
      </c>
      <c r="J92" t="s">
        <v>616</v>
      </c>
      <c r="K92" s="66">
        <v>0</v>
      </c>
      <c r="L92" s="66">
        <f t="shared" si="0"/>
        <v>0</v>
      </c>
      <c r="M92" s="66">
        <v>0</v>
      </c>
      <c r="N92" s="66">
        <f t="shared" si="1"/>
        <v>0</v>
      </c>
      <c r="O92" s="66">
        <f t="shared" si="2"/>
        <v>0</v>
      </c>
    </row>
    <row r="93" spans="12:15" ht="12.75">
      <c r="L93" s="66">
        <f t="shared" si="0"/>
        <v>0</v>
      </c>
      <c r="N93" s="66">
        <f t="shared" si="1"/>
        <v>0</v>
      </c>
      <c r="O93" s="66">
        <f t="shared" si="2"/>
        <v>0</v>
      </c>
    </row>
    <row r="94" spans="1:15" ht="12.75">
      <c r="A94" t="s">
        <v>637</v>
      </c>
      <c r="B94" t="s">
        <v>668</v>
      </c>
      <c r="L94" s="66">
        <f t="shared" si="0"/>
        <v>0</v>
      </c>
      <c r="N94" s="66">
        <f t="shared" si="1"/>
        <v>0</v>
      </c>
      <c r="O94" s="66">
        <f t="shared" si="2"/>
        <v>0</v>
      </c>
    </row>
    <row r="95" spans="3:15" ht="12.75">
      <c r="C95" t="s">
        <v>669</v>
      </c>
      <c r="E95" s="86" t="s">
        <v>670</v>
      </c>
      <c r="F95" t="s">
        <v>671</v>
      </c>
      <c r="I95">
        <v>2</v>
      </c>
      <c r="J95" t="s">
        <v>616</v>
      </c>
      <c r="K95" s="66">
        <v>0</v>
      </c>
      <c r="L95" s="66">
        <f t="shared" si="0"/>
        <v>0</v>
      </c>
      <c r="M95" s="66">
        <v>0</v>
      </c>
      <c r="N95" s="66">
        <f t="shared" si="1"/>
        <v>0</v>
      </c>
      <c r="O95" s="66">
        <f t="shared" si="2"/>
        <v>0</v>
      </c>
    </row>
    <row r="96" spans="12:15" ht="12.75">
      <c r="L96" s="66">
        <f t="shared" si="0"/>
        <v>0</v>
      </c>
      <c r="N96" s="66">
        <f t="shared" si="1"/>
        <v>0</v>
      </c>
      <c r="O96" s="66">
        <f t="shared" si="2"/>
        <v>0</v>
      </c>
    </row>
    <row r="97" spans="12:15" ht="12.75">
      <c r="L97" s="66">
        <f t="shared" si="0"/>
        <v>0</v>
      </c>
      <c r="N97" s="66">
        <f t="shared" si="1"/>
        <v>0</v>
      </c>
      <c r="O97" s="66">
        <f t="shared" si="2"/>
        <v>0</v>
      </c>
    </row>
    <row r="98" spans="1:15" ht="12.75">
      <c r="A98" t="s">
        <v>640</v>
      </c>
      <c r="B98" t="s">
        <v>672</v>
      </c>
      <c r="L98" s="66">
        <f t="shared" si="0"/>
        <v>0</v>
      </c>
      <c r="N98" s="66">
        <f t="shared" si="1"/>
        <v>0</v>
      </c>
      <c r="O98" s="66">
        <f t="shared" si="2"/>
        <v>0</v>
      </c>
    </row>
    <row r="99" spans="3:15" ht="12.75">
      <c r="C99" t="s">
        <v>669</v>
      </c>
      <c r="E99" s="86" t="s">
        <v>670</v>
      </c>
      <c r="F99" t="s">
        <v>671</v>
      </c>
      <c r="L99" s="66">
        <f t="shared" si="0"/>
        <v>0</v>
      </c>
      <c r="N99" s="66">
        <f t="shared" si="1"/>
        <v>0</v>
      </c>
      <c r="O99" s="66">
        <f t="shared" si="2"/>
        <v>0</v>
      </c>
    </row>
    <row r="100" spans="5:15" ht="12.75">
      <c r="E100" s="86" t="s">
        <v>673</v>
      </c>
      <c r="F100" t="s">
        <v>605</v>
      </c>
      <c r="I100">
        <v>2</v>
      </c>
      <c r="J100" t="s">
        <v>616</v>
      </c>
      <c r="K100" s="66">
        <v>0</v>
      </c>
      <c r="L100" s="66">
        <f t="shared" si="0"/>
        <v>0</v>
      </c>
      <c r="M100" s="66">
        <v>0</v>
      </c>
      <c r="N100" s="66">
        <f t="shared" si="1"/>
        <v>0</v>
      </c>
      <c r="O100" s="66">
        <f t="shared" si="2"/>
        <v>0</v>
      </c>
    </row>
    <row r="101" spans="1:15" ht="12.75">
      <c r="A101" s="71"/>
      <c r="B101" s="74"/>
      <c r="C101" s="74"/>
      <c r="D101" s="74"/>
      <c r="E101" s="74"/>
      <c r="F101" s="74"/>
      <c r="G101" s="74"/>
      <c r="H101" s="74"/>
      <c r="I101" s="74"/>
      <c r="J101" s="74"/>
      <c r="L101" s="66">
        <f t="shared" si="0"/>
        <v>0</v>
      </c>
      <c r="N101" s="66">
        <f t="shared" si="1"/>
        <v>0</v>
      </c>
      <c r="O101" s="66">
        <f t="shared" si="2"/>
        <v>0</v>
      </c>
    </row>
    <row r="102" spans="1:15" ht="12.75">
      <c r="A102" s="73" t="s">
        <v>674</v>
      </c>
      <c r="B102" s="73"/>
      <c r="C102" s="73"/>
      <c r="D102" s="73"/>
      <c r="E102" s="73"/>
      <c r="F102" s="73"/>
      <c r="G102" s="73"/>
      <c r="H102" s="73"/>
      <c r="I102" s="73"/>
      <c r="J102" s="73"/>
      <c r="L102" s="66">
        <f t="shared" si="0"/>
        <v>0</v>
      </c>
      <c r="N102" s="66">
        <f t="shared" si="1"/>
        <v>0</v>
      </c>
      <c r="O102" s="66">
        <f t="shared" si="2"/>
        <v>0</v>
      </c>
    </row>
    <row r="103" spans="1:15" ht="12.75">
      <c r="A103" s="73" t="s">
        <v>596</v>
      </c>
      <c r="B103" s="73" t="s">
        <v>675</v>
      </c>
      <c r="C103" s="73"/>
      <c r="D103" s="73"/>
      <c r="E103" s="73"/>
      <c r="F103" s="73"/>
      <c r="G103" s="73"/>
      <c r="H103" s="73"/>
      <c r="I103" s="73"/>
      <c r="J103" s="73"/>
      <c r="L103" s="66">
        <f t="shared" si="0"/>
        <v>0</v>
      </c>
      <c r="N103" s="66">
        <f t="shared" si="1"/>
        <v>0</v>
      </c>
      <c r="O103" s="66">
        <f t="shared" si="2"/>
        <v>0</v>
      </c>
    </row>
    <row r="104" spans="1:15" ht="12.75">
      <c r="A104" s="73"/>
      <c r="B104" s="73"/>
      <c r="C104" s="73" t="s">
        <v>676</v>
      </c>
      <c r="D104" s="73"/>
      <c r="E104" s="73"/>
      <c r="F104" s="73"/>
      <c r="G104" s="73"/>
      <c r="H104" s="73"/>
      <c r="I104" s="73"/>
      <c r="J104" s="73"/>
      <c r="L104" s="66">
        <f t="shared" si="0"/>
        <v>0</v>
      </c>
      <c r="N104" s="66">
        <f t="shared" si="1"/>
        <v>0</v>
      </c>
      <c r="O104" s="66">
        <f t="shared" si="2"/>
        <v>0</v>
      </c>
    </row>
    <row r="105" spans="1:15" ht="12.75">
      <c r="A105" s="73"/>
      <c r="B105" s="73"/>
      <c r="C105" s="73"/>
      <c r="D105" s="73" t="s">
        <v>677</v>
      </c>
      <c r="E105" s="73"/>
      <c r="F105" s="73"/>
      <c r="G105" s="73"/>
      <c r="H105" s="73"/>
      <c r="I105" s="73"/>
      <c r="J105" s="73"/>
      <c r="L105" s="66">
        <f t="shared" si="0"/>
        <v>0</v>
      </c>
      <c r="N105" s="66">
        <f t="shared" si="1"/>
        <v>0</v>
      </c>
      <c r="O105" s="66">
        <f t="shared" si="2"/>
        <v>0</v>
      </c>
    </row>
    <row r="106" spans="1:15" ht="12.75">
      <c r="A106" s="73"/>
      <c r="B106" s="73"/>
      <c r="C106" s="73"/>
      <c r="D106" s="73"/>
      <c r="E106" s="73" t="s">
        <v>678</v>
      </c>
      <c r="F106" s="73"/>
      <c r="G106" s="73"/>
      <c r="H106" s="73"/>
      <c r="I106" s="73">
        <v>5</v>
      </c>
      <c r="J106" s="73" t="s">
        <v>243</v>
      </c>
      <c r="K106" s="66">
        <v>0</v>
      </c>
      <c r="L106" s="66">
        <f t="shared" si="0"/>
        <v>0</v>
      </c>
      <c r="M106" s="66">
        <v>0</v>
      </c>
      <c r="N106" s="66">
        <f t="shared" si="1"/>
        <v>0</v>
      </c>
      <c r="O106" s="66">
        <f t="shared" si="2"/>
        <v>0</v>
      </c>
    </row>
    <row r="107" spans="1:15" ht="12.75">
      <c r="A107" s="73"/>
      <c r="B107" s="73"/>
      <c r="C107" s="73"/>
      <c r="D107" s="73"/>
      <c r="E107" s="73"/>
      <c r="F107" s="73"/>
      <c r="G107" s="73"/>
      <c r="H107" s="73"/>
      <c r="I107" s="73"/>
      <c r="J107" s="73"/>
      <c r="L107" s="66">
        <f t="shared" si="0"/>
        <v>0</v>
      </c>
      <c r="N107" s="66">
        <f t="shared" si="1"/>
        <v>0</v>
      </c>
      <c r="O107" s="66">
        <f t="shared" si="2"/>
        <v>0</v>
      </c>
    </row>
    <row r="108" spans="1:15" ht="12.75">
      <c r="A108" s="73"/>
      <c r="B108" s="73"/>
      <c r="C108" s="73"/>
      <c r="D108" s="73" t="s">
        <v>679</v>
      </c>
      <c r="E108" s="73"/>
      <c r="F108" s="73"/>
      <c r="G108" s="73"/>
      <c r="H108" s="73"/>
      <c r="I108" s="73"/>
      <c r="J108" s="73"/>
      <c r="L108" s="66">
        <f t="shared" si="0"/>
        <v>0</v>
      </c>
      <c r="N108" s="66">
        <f t="shared" si="1"/>
        <v>0</v>
      </c>
      <c r="O108" s="66">
        <f t="shared" si="2"/>
        <v>0</v>
      </c>
    </row>
    <row r="109" spans="1:15" ht="12.75">
      <c r="A109" s="87"/>
      <c r="B109" s="88"/>
      <c r="C109" s="89"/>
      <c r="D109" s="90"/>
      <c r="E109" s="88" t="s">
        <v>680</v>
      </c>
      <c r="F109" s="74"/>
      <c r="G109" s="74"/>
      <c r="H109" s="88"/>
      <c r="I109" s="91">
        <v>10</v>
      </c>
      <c r="J109" s="76" t="s">
        <v>243</v>
      </c>
      <c r="K109" s="76">
        <v>0</v>
      </c>
      <c r="L109" s="66">
        <f t="shared" si="0"/>
        <v>0</v>
      </c>
      <c r="M109" s="66">
        <v>0</v>
      </c>
      <c r="N109" s="66">
        <f t="shared" si="1"/>
        <v>0</v>
      </c>
      <c r="O109" s="66">
        <f t="shared" si="2"/>
        <v>0</v>
      </c>
    </row>
    <row r="110" spans="1:15" ht="12.75">
      <c r="A110" s="73"/>
      <c r="B110" s="73"/>
      <c r="C110" s="73"/>
      <c r="D110" s="73"/>
      <c r="E110" s="73" t="s">
        <v>681</v>
      </c>
      <c r="F110" s="73"/>
      <c r="G110" s="73"/>
      <c r="H110" s="73"/>
      <c r="I110" s="73">
        <v>200</v>
      </c>
      <c r="J110" s="73" t="s">
        <v>243</v>
      </c>
      <c r="K110" s="66">
        <v>0</v>
      </c>
      <c r="L110" s="66">
        <f t="shared" si="0"/>
        <v>0</v>
      </c>
      <c r="M110" s="66">
        <v>0</v>
      </c>
      <c r="N110" s="66">
        <f t="shared" si="1"/>
        <v>0</v>
      </c>
      <c r="O110" s="66">
        <f t="shared" si="2"/>
        <v>0</v>
      </c>
    </row>
    <row r="111" spans="1:15" ht="12.75">
      <c r="A111" s="74"/>
      <c r="B111" s="74"/>
      <c r="C111" s="74"/>
      <c r="D111" s="74"/>
      <c r="E111" s="74" t="s">
        <v>682</v>
      </c>
      <c r="F111" s="74"/>
      <c r="G111" s="74"/>
      <c r="H111" s="74"/>
      <c r="I111" s="74">
        <v>10</v>
      </c>
      <c r="J111" s="74" t="s">
        <v>243</v>
      </c>
      <c r="K111" s="66">
        <v>0</v>
      </c>
      <c r="L111" s="66">
        <f t="shared" si="0"/>
        <v>0</v>
      </c>
      <c r="M111" s="66">
        <v>0</v>
      </c>
      <c r="N111" s="66">
        <f t="shared" si="1"/>
        <v>0</v>
      </c>
      <c r="O111" s="66">
        <f t="shared" si="2"/>
        <v>0</v>
      </c>
    </row>
    <row r="112" spans="1:15" ht="12.75">
      <c r="A112" s="74"/>
      <c r="B112" s="74"/>
      <c r="C112" s="74"/>
      <c r="D112" s="74"/>
      <c r="E112" s="74"/>
      <c r="F112" s="74"/>
      <c r="G112" s="74"/>
      <c r="H112" s="74"/>
      <c r="I112" s="74"/>
      <c r="J112" s="74"/>
      <c r="L112" s="66">
        <f t="shared" si="0"/>
        <v>0</v>
      </c>
      <c r="N112" s="66">
        <f t="shared" si="1"/>
        <v>0</v>
      </c>
      <c r="O112" s="66">
        <f t="shared" si="2"/>
        <v>0</v>
      </c>
    </row>
    <row r="113" spans="1:15" ht="12.75">
      <c r="A113" s="74" t="s">
        <v>617</v>
      </c>
      <c r="B113" s="74" t="s">
        <v>683</v>
      </c>
      <c r="C113" s="74"/>
      <c r="D113" s="74"/>
      <c r="E113" s="74"/>
      <c r="F113" s="74"/>
      <c r="G113" s="74"/>
      <c r="H113" s="74"/>
      <c r="I113" s="74"/>
      <c r="J113" s="74"/>
      <c r="L113" s="66">
        <f t="shared" si="0"/>
        <v>0</v>
      </c>
      <c r="N113" s="66">
        <f t="shared" si="1"/>
        <v>0</v>
      </c>
      <c r="O113" s="66">
        <f t="shared" si="2"/>
        <v>0</v>
      </c>
    </row>
    <row r="114" spans="1:15" ht="12.75">
      <c r="A114" s="74"/>
      <c r="B114" s="74"/>
      <c r="C114" s="74" t="s">
        <v>684</v>
      </c>
      <c r="D114" s="74"/>
      <c r="E114" s="74"/>
      <c r="F114" s="74"/>
      <c r="G114" s="74"/>
      <c r="H114" s="74"/>
      <c r="I114" s="74"/>
      <c r="J114" s="74"/>
      <c r="L114" s="66">
        <f t="shared" si="0"/>
        <v>0</v>
      </c>
      <c r="N114" s="66">
        <f t="shared" si="1"/>
        <v>0</v>
      </c>
      <c r="O114" s="66">
        <f t="shared" si="2"/>
        <v>0</v>
      </c>
    </row>
    <row r="115" spans="1:15" ht="12.75">
      <c r="A115" s="73"/>
      <c r="B115" s="74"/>
      <c r="C115" s="74"/>
      <c r="D115" s="74" t="s">
        <v>685</v>
      </c>
      <c r="E115" s="74"/>
      <c r="F115" s="74"/>
      <c r="G115" s="74"/>
      <c r="H115" s="74"/>
      <c r="I115" s="92">
        <v>215</v>
      </c>
      <c r="J115" s="74" t="s">
        <v>243</v>
      </c>
      <c r="K115" s="76"/>
      <c r="L115" s="66">
        <f t="shared" si="0"/>
        <v>0</v>
      </c>
      <c r="M115" s="76">
        <v>0</v>
      </c>
      <c r="N115" s="66">
        <f t="shared" si="1"/>
        <v>0</v>
      </c>
      <c r="O115" s="66">
        <f t="shared" si="2"/>
        <v>0</v>
      </c>
    </row>
    <row r="116" spans="1:15" ht="12.75">
      <c r="A116" s="93"/>
      <c r="B116" s="74"/>
      <c r="C116" s="74"/>
      <c r="D116" s="74"/>
      <c r="E116" s="74"/>
      <c r="F116" s="94"/>
      <c r="G116" s="75"/>
      <c r="H116" s="75"/>
      <c r="I116" s="74"/>
      <c r="J116" s="74"/>
      <c r="K116" s="76"/>
      <c r="L116" s="66">
        <f t="shared" si="0"/>
        <v>0</v>
      </c>
      <c r="M116" s="76"/>
      <c r="N116" s="66">
        <f t="shared" si="1"/>
        <v>0</v>
      </c>
      <c r="O116" s="66">
        <f t="shared" si="2"/>
        <v>0</v>
      </c>
    </row>
    <row r="117" spans="1:15" ht="12.75">
      <c r="A117" s="73" t="s">
        <v>686</v>
      </c>
      <c r="B117" s="74"/>
      <c r="C117" s="74"/>
      <c r="D117" s="74"/>
      <c r="E117" s="74"/>
      <c r="F117" s="75"/>
      <c r="G117" s="75"/>
      <c r="H117" s="75"/>
      <c r="I117" s="74"/>
      <c r="J117" s="74"/>
      <c r="K117" s="76"/>
      <c r="L117" s="66">
        <f t="shared" si="0"/>
        <v>0</v>
      </c>
      <c r="M117" s="76"/>
      <c r="N117" s="66">
        <f t="shared" si="1"/>
        <v>0</v>
      </c>
      <c r="O117" s="66">
        <f t="shared" si="2"/>
        <v>0</v>
      </c>
    </row>
    <row r="118" spans="1:15" ht="12.75">
      <c r="A118" s="73" t="s">
        <v>596</v>
      </c>
      <c r="B118" s="74" t="s">
        <v>687</v>
      </c>
      <c r="C118" s="74"/>
      <c r="D118" s="74"/>
      <c r="E118" s="73"/>
      <c r="F118" s="75"/>
      <c r="G118" s="75"/>
      <c r="H118" s="75"/>
      <c r="I118" s="95"/>
      <c r="J118" s="74"/>
      <c r="K118" s="76"/>
      <c r="L118" s="66">
        <f t="shared" si="0"/>
        <v>0</v>
      </c>
      <c r="M118" s="76"/>
      <c r="N118" s="66">
        <f t="shared" si="1"/>
        <v>0</v>
      </c>
      <c r="O118" s="66">
        <f t="shared" si="2"/>
        <v>0</v>
      </c>
    </row>
    <row r="119" spans="1:15" ht="12.75">
      <c r="A119" s="73"/>
      <c r="B119" s="74"/>
      <c r="C119" s="74"/>
      <c r="D119" s="74"/>
      <c r="E119" s="73" t="s">
        <v>688</v>
      </c>
      <c r="F119" s="75"/>
      <c r="G119" s="75"/>
      <c r="H119" s="75"/>
      <c r="I119" s="95">
        <v>5</v>
      </c>
      <c r="J119" s="74" t="s">
        <v>243</v>
      </c>
      <c r="K119" s="76">
        <v>0</v>
      </c>
      <c r="L119" s="66">
        <f t="shared" si="0"/>
        <v>0</v>
      </c>
      <c r="M119" s="76">
        <v>0</v>
      </c>
      <c r="N119" s="66">
        <f t="shared" si="1"/>
        <v>0</v>
      </c>
      <c r="O119" s="66">
        <f t="shared" si="2"/>
        <v>0</v>
      </c>
    </row>
    <row r="120" spans="1:15" ht="12.75">
      <c r="A120" s="73"/>
      <c r="B120" s="74"/>
      <c r="C120" s="74"/>
      <c r="D120" s="74"/>
      <c r="E120" s="73" t="s">
        <v>689</v>
      </c>
      <c r="F120" s="75"/>
      <c r="G120" s="75"/>
      <c r="H120" s="75"/>
      <c r="I120" s="95">
        <v>10</v>
      </c>
      <c r="J120" s="74" t="s">
        <v>243</v>
      </c>
      <c r="K120" s="76">
        <v>0</v>
      </c>
      <c r="L120" s="66">
        <f t="shared" si="0"/>
        <v>0</v>
      </c>
      <c r="M120" s="76">
        <v>0</v>
      </c>
      <c r="N120" s="66">
        <f t="shared" si="1"/>
        <v>0</v>
      </c>
      <c r="O120" s="66">
        <f t="shared" si="2"/>
        <v>0</v>
      </c>
    </row>
    <row r="121" spans="1:15" ht="12.75">
      <c r="A121" s="73"/>
      <c r="B121" s="74"/>
      <c r="C121" s="74"/>
      <c r="D121" s="74"/>
      <c r="E121" s="73" t="s">
        <v>690</v>
      </c>
      <c r="F121" s="75"/>
      <c r="G121" s="75"/>
      <c r="H121" s="75"/>
      <c r="I121" s="95">
        <v>180</v>
      </c>
      <c r="J121" s="74" t="s">
        <v>243</v>
      </c>
      <c r="K121" s="76">
        <v>0</v>
      </c>
      <c r="L121" s="66">
        <f t="shared" si="0"/>
        <v>0</v>
      </c>
      <c r="M121" s="76">
        <v>0</v>
      </c>
      <c r="N121" s="66">
        <f t="shared" si="1"/>
        <v>0</v>
      </c>
      <c r="O121" s="66">
        <f t="shared" si="2"/>
        <v>0</v>
      </c>
    </row>
    <row r="122" spans="1:15" ht="12.75">
      <c r="A122" s="73"/>
      <c r="B122" s="74"/>
      <c r="C122" s="74"/>
      <c r="D122" s="74"/>
      <c r="E122" s="74"/>
      <c r="F122" s="74"/>
      <c r="G122" s="74"/>
      <c r="H122" s="74"/>
      <c r="I122" s="92"/>
      <c r="J122" s="74"/>
      <c r="K122" s="76"/>
      <c r="L122" s="66">
        <f t="shared" si="0"/>
        <v>0</v>
      </c>
      <c r="M122" s="76"/>
      <c r="N122" s="66">
        <f t="shared" si="1"/>
        <v>0</v>
      </c>
      <c r="O122" s="66">
        <f t="shared" si="2"/>
        <v>0</v>
      </c>
    </row>
    <row r="123" spans="1:15" ht="12.75">
      <c r="A123" s="73" t="s">
        <v>617</v>
      </c>
      <c r="B123" s="74" t="s">
        <v>691</v>
      </c>
      <c r="C123" s="74"/>
      <c r="D123" s="74"/>
      <c r="E123" s="74"/>
      <c r="F123" s="75"/>
      <c r="G123" s="75"/>
      <c r="H123" s="75"/>
      <c r="I123" s="74"/>
      <c r="J123" s="74"/>
      <c r="K123" s="76"/>
      <c r="L123" s="66">
        <f t="shared" si="0"/>
        <v>0</v>
      </c>
      <c r="M123" s="76"/>
      <c r="N123" s="66">
        <f t="shared" si="1"/>
        <v>0</v>
      </c>
      <c r="O123" s="66">
        <f t="shared" si="2"/>
        <v>0</v>
      </c>
    </row>
    <row r="124" spans="1:15" ht="12.75">
      <c r="A124" s="73"/>
      <c r="B124" s="74"/>
      <c r="C124" s="74"/>
      <c r="D124" s="74"/>
      <c r="E124" s="73" t="s">
        <v>692</v>
      </c>
      <c r="F124" s="75"/>
      <c r="G124" s="75"/>
      <c r="H124" s="75"/>
      <c r="I124" s="95">
        <v>20</v>
      </c>
      <c r="J124" s="74" t="s">
        <v>243</v>
      </c>
      <c r="K124" s="76">
        <v>0</v>
      </c>
      <c r="L124" s="66">
        <f t="shared" si="0"/>
        <v>0</v>
      </c>
      <c r="M124" s="76">
        <v>0</v>
      </c>
      <c r="N124" s="66">
        <f t="shared" si="1"/>
        <v>0</v>
      </c>
      <c r="O124" s="66">
        <f t="shared" si="2"/>
        <v>0</v>
      </c>
    </row>
    <row r="125" spans="1:15" ht="12.75">
      <c r="A125" s="73"/>
      <c r="B125" s="74"/>
      <c r="C125" s="74"/>
      <c r="D125" s="74"/>
      <c r="E125" s="74" t="s">
        <v>693</v>
      </c>
      <c r="F125" s="74"/>
      <c r="G125" s="74"/>
      <c r="H125" s="74"/>
      <c r="I125" s="92">
        <v>20</v>
      </c>
      <c r="J125" s="74" t="s">
        <v>243</v>
      </c>
      <c r="K125" s="76">
        <v>0</v>
      </c>
      <c r="L125" s="66">
        <f t="shared" si="0"/>
        <v>0</v>
      </c>
      <c r="M125" s="76">
        <v>0</v>
      </c>
      <c r="N125" s="66">
        <f t="shared" si="1"/>
        <v>0</v>
      </c>
      <c r="O125" s="66">
        <f t="shared" si="2"/>
        <v>0</v>
      </c>
    </row>
    <row r="126" spans="1:15" ht="12.75">
      <c r="A126" s="73"/>
      <c r="B126" s="74"/>
      <c r="C126" s="74"/>
      <c r="D126" s="74"/>
      <c r="E126" s="74"/>
      <c r="F126" s="75"/>
      <c r="G126" s="75"/>
      <c r="H126" s="75"/>
      <c r="I126" s="95"/>
      <c r="J126" s="74"/>
      <c r="K126" s="76"/>
      <c r="L126" s="66">
        <f t="shared" si="0"/>
        <v>0</v>
      </c>
      <c r="M126" s="76"/>
      <c r="N126" s="66">
        <f t="shared" si="1"/>
        <v>0</v>
      </c>
      <c r="O126" s="66">
        <f t="shared" si="2"/>
        <v>0</v>
      </c>
    </row>
    <row r="127" spans="1:15" ht="12.75">
      <c r="A127" s="73" t="s">
        <v>618</v>
      </c>
      <c r="B127" s="74" t="s">
        <v>694</v>
      </c>
      <c r="C127" s="74"/>
      <c r="D127" s="74"/>
      <c r="E127" s="73"/>
      <c r="F127" s="75"/>
      <c r="G127" s="75"/>
      <c r="H127" s="75"/>
      <c r="I127" s="95">
        <v>1</v>
      </c>
      <c r="J127" s="74" t="s">
        <v>616</v>
      </c>
      <c r="K127" s="76">
        <v>0</v>
      </c>
      <c r="L127" s="66">
        <f t="shared" si="0"/>
        <v>0</v>
      </c>
      <c r="M127" s="76">
        <v>0</v>
      </c>
      <c r="N127" s="66">
        <f t="shared" si="1"/>
        <v>0</v>
      </c>
      <c r="O127" s="66">
        <f t="shared" si="2"/>
        <v>0</v>
      </c>
    </row>
    <row r="128" spans="1:15" ht="12.75">
      <c r="A128" s="93"/>
      <c r="B128" s="74"/>
      <c r="C128" s="74"/>
      <c r="D128" s="74"/>
      <c r="E128" s="74"/>
      <c r="F128" s="75"/>
      <c r="G128" s="74"/>
      <c r="H128" s="74"/>
      <c r="I128" s="92"/>
      <c r="J128" s="74"/>
      <c r="K128" s="76"/>
      <c r="L128" s="66">
        <f t="shared" si="0"/>
        <v>0</v>
      </c>
      <c r="M128" s="76"/>
      <c r="N128" s="66">
        <f t="shared" si="1"/>
        <v>0</v>
      </c>
      <c r="O128" s="66">
        <f t="shared" si="2"/>
        <v>0</v>
      </c>
    </row>
    <row r="129" spans="1:15" ht="12.75">
      <c r="A129" s="73" t="s">
        <v>695</v>
      </c>
      <c r="B129" s="74"/>
      <c r="C129" s="74"/>
      <c r="D129" s="74"/>
      <c r="E129" s="74"/>
      <c r="F129" s="74"/>
      <c r="G129" s="74"/>
      <c r="H129" s="74"/>
      <c r="I129" s="92"/>
      <c r="J129" s="74"/>
      <c r="K129" s="76"/>
      <c r="L129" s="66">
        <f t="shared" si="0"/>
        <v>0</v>
      </c>
      <c r="M129" s="76"/>
      <c r="N129" s="66">
        <f t="shared" si="1"/>
        <v>0</v>
      </c>
      <c r="O129" s="66">
        <f t="shared" si="2"/>
        <v>0</v>
      </c>
    </row>
    <row r="130" spans="1:15" ht="15" customHeight="1">
      <c r="A130" s="73" t="s">
        <v>596</v>
      </c>
      <c r="B130" s="74" t="s">
        <v>696</v>
      </c>
      <c r="C130" s="74"/>
      <c r="D130" s="74"/>
      <c r="E130" s="74"/>
      <c r="F130" s="74"/>
      <c r="G130" s="74"/>
      <c r="H130" s="74"/>
      <c r="I130" s="92">
        <v>12</v>
      </c>
      <c r="J130" s="74" t="s">
        <v>697</v>
      </c>
      <c r="K130" s="76"/>
      <c r="L130" s="66">
        <f t="shared" si="0"/>
        <v>0</v>
      </c>
      <c r="M130" s="76">
        <v>0</v>
      </c>
      <c r="N130" s="66">
        <f t="shared" si="1"/>
        <v>0</v>
      </c>
      <c r="O130" s="66">
        <f t="shared" si="2"/>
        <v>0</v>
      </c>
    </row>
    <row r="131" spans="1:15" ht="12.75">
      <c r="A131" s="73"/>
      <c r="B131" s="74"/>
      <c r="C131" s="74"/>
      <c r="D131" s="74"/>
      <c r="E131" s="74"/>
      <c r="F131" s="74"/>
      <c r="G131" s="74"/>
      <c r="H131" s="74"/>
      <c r="I131" s="92"/>
      <c r="J131" s="74"/>
      <c r="K131" s="76"/>
      <c r="L131" s="66">
        <f t="shared" si="0"/>
        <v>0</v>
      </c>
      <c r="M131" s="76"/>
      <c r="N131" s="66">
        <f t="shared" si="1"/>
        <v>0</v>
      </c>
      <c r="O131" s="66">
        <f t="shared" si="2"/>
        <v>0</v>
      </c>
    </row>
    <row r="132" spans="1:15" ht="15" customHeight="1">
      <c r="A132" s="73" t="s">
        <v>617</v>
      </c>
      <c r="B132" s="74" t="s">
        <v>698</v>
      </c>
      <c r="C132" s="74"/>
      <c r="D132" s="74"/>
      <c r="E132" s="74"/>
      <c r="F132" s="74"/>
      <c r="G132" s="74"/>
      <c r="H132" s="74"/>
      <c r="I132" s="92">
        <v>1</v>
      </c>
      <c r="J132" s="74" t="s">
        <v>616</v>
      </c>
      <c r="K132" s="76"/>
      <c r="L132" s="66">
        <f t="shared" si="0"/>
        <v>0</v>
      </c>
      <c r="M132" s="76">
        <v>0</v>
      </c>
      <c r="N132" s="66">
        <f t="shared" si="1"/>
        <v>0</v>
      </c>
      <c r="O132" s="66">
        <f t="shared" si="2"/>
        <v>0</v>
      </c>
    </row>
    <row r="133" spans="1:15" ht="12.75">
      <c r="A133" s="73"/>
      <c r="B133" s="74"/>
      <c r="C133" s="74"/>
      <c r="D133" s="74"/>
      <c r="E133" s="74"/>
      <c r="F133" s="74"/>
      <c r="G133" s="74"/>
      <c r="H133" s="74"/>
      <c r="I133" s="92"/>
      <c r="J133" s="74"/>
      <c r="K133" s="76"/>
      <c r="L133" s="66">
        <f t="shared" si="0"/>
        <v>0</v>
      </c>
      <c r="M133" s="76"/>
      <c r="N133" s="66">
        <f t="shared" si="1"/>
        <v>0</v>
      </c>
      <c r="O133" s="66">
        <f t="shared" si="2"/>
        <v>0</v>
      </c>
    </row>
    <row r="134" spans="1:15" ht="15" customHeight="1">
      <c r="A134" s="73" t="s">
        <v>618</v>
      </c>
      <c r="B134" s="74" t="s">
        <v>699</v>
      </c>
      <c r="C134" s="74"/>
      <c r="D134" s="74"/>
      <c r="E134" s="74"/>
      <c r="F134" s="74"/>
      <c r="G134" s="74"/>
      <c r="H134" s="74"/>
      <c r="I134" s="92">
        <v>1</v>
      </c>
      <c r="J134" s="74" t="s">
        <v>616</v>
      </c>
      <c r="K134" s="76">
        <v>0</v>
      </c>
      <c r="L134" s="66">
        <f t="shared" si="0"/>
        <v>0</v>
      </c>
      <c r="M134" s="76">
        <v>0</v>
      </c>
      <c r="N134" s="66">
        <f t="shared" si="1"/>
        <v>0</v>
      </c>
      <c r="O134" s="66">
        <f t="shared" si="2"/>
        <v>0</v>
      </c>
    </row>
    <row r="135" spans="1:15" ht="12.75">
      <c r="A135" s="73"/>
      <c r="B135" s="74"/>
      <c r="C135" s="74"/>
      <c r="D135" s="74"/>
      <c r="E135" s="74"/>
      <c r="F135" s="74"/>
      <c r="G135" s="74"/>
      <c r="H135" s="74"/>
      <c r="I135" s="92"/>
      <c r="J135" s="74"/>
      <c r="K135" s="76"/>
      <c r="L135" s="66">
        <f t="shared" si="0"/>
        <v>0</v>
      </c>
      <c r="M135" s="76"/>
      <c r="N135" s="66">
        <f t="shared" si="1"/>
        <v>0</v>
      </c>
      <c r="O135" s="66">
        <f t="shared" si="2"/>
        <v>0</v>
      </c>
    </row>
    <row r="136" spans="1:15" ht="12.75">
      <c r="A136" s="73" t="s">
        <v>622</v>
      </c>
      <c r="B136" s="74" t="s">
        <v>700</v>
      </c>
      <c r="C136" s="74"/>
      <c r="D136" s="74"/>
      <c r="E136" s="74"/>
      <c r="F136" s="74"/>
      <c r="G136" s="74"/>
      <c r="H136" s="74"/>
      <c r="I136" s="92">
        <v>1</v>
      </c>
      <c r="J136" s="74" t="s">
        <v>616</v>
      </c>
      <c r="K136" s="76">
        <v>0</v>
      </c>
      <c r="L136" s="66">
        <f t="shared" si="0"/>
        <v>0</v>
      </c>
      <c r="M136" s="76">
        <v>0</v>
      </c>
      <c r="N136" s="66">
        <f t="shared" si="1"/>
        <v>0</v>
      </c>
      <c r="O136" s="66">
        <f t="shared" si="2"/>
        <v>0</v>
      </c>
    </row>
    <row r="137" spans="1:15" ht="12.75">
      <c r="A137" s="73"/>
      <c r="B137" s="74"/>
      <c r="C137" s="74"/>
      <c r="D137" s="74"/>
      <c r="E137" s="74"/>
      <c r="F137" s="74"/>
      <c r="G137" s="74"/>
      <c r="H137" s="74"/>
      <c r="I137" s="92"/>
      <c r="J137" s="74"/>
      <c r="K137" s="76"/>
      <c r="L137" s="66">
        <f t="shared" si="0"/>
        <v>0</v>
      </c>
      <c r="M137" s="76"/>
      <c r="N137" s="66">
        <f t="shared" si="1"/>
        <v>0</v>
      </c>
      <c r="O137" s="66">
        <f t="shared" si="2"/>
        <v>0</v>
      </c>
    </row>
    <row r="138" spans="1:15" ht="12.75">
      <c r="A138" s="73" t="s">
        <v>626</v>
      </c>
      <c r="B138" s="74" t="s">
        <v>701</v>
      </c>
      <c r="C138" s="74"/>
      <c r="D138" s="74"/>
      <c r="E138" s="74"/>
      <c r="F138" s="74"/>
      <c r="G138" s="74"/>
      <c r="H138" s="74"/>
      <c r="I138" s="92">
        <v>24</v>
      </c>
      <c r="J138" s="74" t="s">
        <v>697</v>
      </c>
      <c r="K138" s="76"/>
      <c r="L138" s="66">
        <f t="shared" si="0"/>
        <v>0</v>
      </c>
      <c r="M138" s="76">
        <v>0</v>
      </c>
      <c r="N138" s="66">
        <f t="shared" si="1"/>
        <v>0</v>
      </c>
      <c r="O138" s="66">
        <f t="shared" si="2"/>
        <v>0</v>
      </c>
    </row>
    <row r="139" spans="1:15" ht="12.75">
      <c r="A139" s="73"/>
      <c r="B139" s="74"/>
      <c r="C139" s="74"/>
      <c r="D139" s="74"/>
      <c r="E139" s="74"/>
      <c r="F139" s="74"/>
      <c r="G139" s="74"/>
      <c r="H139" s="74"/>
      <c r="I139" s="92"/>
      <c r="J139" s="74"/>
      <c r="K139" s="76"/>
      <c r="L139" s="66">
        <f t="shared" si="0"/>
        <v>0</v>
      </c>
      <c r="M139" s="76"/>
      <c r="N139" s="66">
        <f t="shared" si="1"/>
        <v>0</v>
      </c>
      <c r="O139" s="66">
        <f t="shared" si="2"/>
        <v>0</v>
      </c>
    </row>
    <row r="140" spans="1:15" ht="12.75">
      <c r="A140" s="73" t="s">
        <v>628</v>
      </c>
      <c r="B140" s="74" t="s">
        <v>702</v>
      </c>
      <c r="C140" s="74"/>
      <c r="D140" s="74"/>
      <c r="E140" s="74"/>
      <c r="F140" s="74"/>
      <c r="G140" s="74"/>
      <c r="H140" s="74"/>
      <c r="I140" s="92">
        <v>24</v>
      </c>
      <c r="J140" s="74" t="s">
        <v>697</v>
      </c>
      <c r="K140" s="76"/>
      <c r="L140" s="66">
        <f t="shared" si="0"/>
        <v>0</v>
      </c>
      <c r="M140" s="76">
        <v>0</v>
      </c>
      <c r="N140" s="66">
        <f t="shared" si="1"/>
        <v>0</v>
      </c>
      <c r="O140" s="66">
        <f t="shared" si="2"/>
        <v>0</v>
      </c>
    </row>
    <row r="141" spans="1:15" ht="12.75">
      <c r="A141" s="73"/>
      <c r="B141" s="74"/>
      <c r="C141" s="74"/>
      <c r="D141" s="74"/>
      <c r="E141" s="74"/>
      <c r="F141" s="74"/>
      <c r="G141" s="74"/>
      <c r="H141" s="74"/>
      <c r="I141" s="92"/>
      <c r="J141" s="74"/>
      <c r="K141" s="76"/>
      <c r="L141" s="66">
        <f t="shared" si="0"/>
        <v>0</v>
      </c>
      <c r="M141" s="76"/>
      <c r="N141" s="66">
        <f t="shared" si="1"/>
        <v>0</v>
      </c>
      <c r="O141" s="66">
        <f t="shared" si="2"/>
        <v>0</v>
      </c>
    </row>
    <row r="142" spans="1:15" ht="12.75">
      <c r="A142" s="73" t="s">
        <v>637</v>
      </c>
      <c r="B142" s="74" t="s">
        <v>703</v>
      </c>
      <c r="C142" s="74"/>
      <c r="D142" s="74"/>
      <c r="E142" s="74"/>
      <c r="F142" s="74"/>
      <c r="G142" s="74"/>
      <c r="H142" s="74"/>
      <c r="I142" s="92"/>
      <c r="J142" s="74"/>
      <c r="K142" s="76"/>
      <c r="L142" s="66">
        <f t="shared" si="0"/>
        <v>0</v>
      </c>
      <c r="M142" s="76"/>
      <c r="N142" s="66">
        <f t="shared" si="1"/>
        <v>0</v>
      </c>
      <c r="O142" s="66">
        <f t="shared" si="2"/>
        <v>0</v>
      </c>
    </row>
    <row r="143" spans="1:15" ht="12.75">
      <c r="A143" s="96"/>
      <c r="B143" s="97"/>
      <c r="C143" s="97"/>
      <c r="D143" s="97" t="s">
        <v>704</v>
      </c>
      <c r="E143" s="97"/>
      <c r="F143" s="97"/>
      <c r="G143" s="97"/>
      <c r="H143" s="97"/>
      <c r="I143" s="98">
        <v>3</v>
      </c>
      <c r="J143" s="97" t="s">
        <v>323</v>
      </c>
      <c r="K143" s="99"/>
      <c r="L143" s="100">
        <f t="shared" si="0"/>
        <v>0</v>
      </c>
      <c r="M143" s="99">
        <v>0</v>
      </c>
      <c r="N143" s="100">
        <f>I143*M143</f>
        <v>0</v>
      </c>
      <c r="O143" s="100">
        <f>N143+L143</f>
        <v>0</v>
      </c>
    </row>
    <row r="144" spans="1:15" ht="12.75">
      <c r="A144" s="71" t="s">
        <v>705</v>
      </c>
      <c r="B144" s="71"/>
      <c r="C144" s="71"/>
      <c r="D144" s="71"/>
      <c r="E144" s="71"/>
      <c r="F144" s="71"/>
      <c r="G144" s="71"/>
      <c r="H144" s="71"/>
      <c r="I144" s="71"/>
      <c r="J144" s="71"/>
      <c r="K144" s="101"/>
      <c r="L144" s="101">
        <f>SUM(L17:L143)</f>
        <v>0</v>
      </c>
      <c r="M144" s="101"/>
      <c r="N144" s="101">
        <f>SUM(N17:N143)</f>
        <v>0</v>
      </c>
      <c r="O144" s="101">
        <f>SUM(O17:O143)</f>
        <v>0</v>
      </c>
    </row>
  </sheetData>
  <sheetProtection selectLockedCells="1" selectUnlockedCells="1"/>
  <mergeCells count="2">
    <mergeCell ref="A1:O1"/>
    <mergeCell ref="A2:J2"/>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5.xml><?xml version="1.0" encoding="utf-8"?>
<worksheet xmlns="http://schemas.openxmlformats.org/spreadsheetml/2006/main" xmlns:r="http://schemas.openxmlformats.org/officeDocument/2006/relationships">
  <dimension ref="A1:AB87"/>
  <sheetViews>
    <sheetView showOutlineSymbols="0" zoomScale="90" zoomScaleNormal="90" zoomScalePageLayoutView="0" workbookViewId="0" topLeftCell="A4">
      <selection activeCell="Q12" sqref="Q12"/>
    </sheetView>
  </sheetViews>
  <sheetFormatPr defaultColWidth="11.33203125" defaultRowHeight="11.25"/>
  <cols>
    <col min="1" max="1" width="8" style="102" customWidth="1"/>
    <col min="2" max="2" width="11.33203125" style="102" customWidth="1"/>
    <col min="3" max="4" width="5.83203125" style="102" customWidth="1"/>
    <col min="5" max="5" width="3.66015625" style="102" customWidth="1"/>
    <col min="6" max="10" width="11.83203125" style="102" customWidth="1"/>
    <col min="11" max="11" width="5.83203125" style="102" customWidth="1"/>
    <col min="12" max="12" width="7.16015625" style="102" customWidth="1"/>
    <col min="13" max="13" width="4.16015625" style="102" customWidth="1"/>
    <col min="14" max="14" width="6.16015625" style="102" customWidth="1"/>
    <col min="15" max="15" width="1.83203125" style="102" customWidth="1"/>
    <col min="16" max="16" width="4" style="102" customWidth="1"/>
    <col min="17" max="18" width="2.83203125" style="102" customWidth="1"/>
    <col min="19" max="19" width="6.5" style="102" customWidth="1"/>
    <col min="20" max="20" width="7.5" style="102" customWidth="1"/>
    <col min="21" max="21" width="5.5" style="102" customWidth="1"/>
    <col min="22" max="23" width="2.83203125" style="102" customWidth="1"/>
    <col min="24" max="24" width="13.5" style="102" customWidth="1"/>
    <col min="25" max="28" width="11.33203125" style="102" customWidth="1"/>
  </cols>
  <sheetData>
    <row r="1" spans="1:28" ht="33.75" customHeight="1">
      <c r="A1" s="274" t="s">
        <v>706</v>
      </c>
      <c r="B1" s="274"/>
      <c r="C1" s="274"/>
      <c r="D1" s="274"/>
      <c r="E1" s="274"/>
      <c r="F1" s="274"/>
      <c r="G1" s="274"/>
      <c r="H1" s="274"/>
      <c r="I1" s="274"/>
      <c r="J1" s="274"/>
      <c r="K1" s="274"/>
      <c r="L1" s="274"/>
      <c r="M1" s="274"/>
      <c r="N1" s="274"/>
      <c r="O1" s="274"/>
      <c r="P1" s="274"/>
      <c r="Q1" s="274"/>
      <c r="R1" s="274"/>
      <c r="S1" s="274"/>
      <c r="T1" s="274"/>
      <c r="U1" s="274"/>
      <c r="V1" s="274"/>
      <c r="W1" s="274"/>
      <c r="X1" s="274"/>
      <c r="Y1" s="103"/>
      <c r="Z1" s="103"/>
      <c r="AA1" s="103"/>
      <c r="AB1" s="103"/>
    </row>
    <row r="2" spans="1:24" ht="7.5" customHeight="1">
      <c r="A2" s="104"/>
      <c r="B2" s="104"/>
      <c r="C2" s="104"/>
      <c r="D2" s="104"/>
      <c r="E2" s="104"/>
      <c r="F2" s="104"/>
      <c r="G2" s="104"/>
      <c r="H2" s="104"/>
      <c r="I2" s="104"/>
      <c r="J2" s="104"/>
      <c r="K2" s="104"/>
      <c r="L2" s="104"/>
      <c r="M2" s="104"/>
      <c r="N2" s="104"/>
      <c r="O2" s="104"/>
      <c r="P2" s="104"/>
      <c r="Q2" s="104"/>
      <c r="R2" s="104"/>
      <c r="S2" s="104"/>
      <c r="T2" s="104"/>
      <c r="U2" s="104"/>
      <c r="V2" s="104"/>
      <c r="W2" s="104"/>
      <c r="X2" s="104"/>
    </row>
    <row r="3" spans="1:24" ht="16.5" customHeight="1">
      <c r="A3" s="275" t="s">
        <v>707</v>
      </c>
      <c r="B3" s="275"/>
      <c r="C3" s="276" t="s">
        <v>708</v>
      </c>
      <c r="D3" s="276"/>
      <c r="E3" s="276"/>
      <c r="F3" s="276"/>
      <c r="G3" s="276"/>
      <c r="H3" s="276"/>
      <c r="I3" s="276"/>
      <c r="J3" s="276"/>
      <c r="K3" s="276"/>
      <c r="L3" s="276"/>
      <c r="M3" s="276"/>
      <c r="N3" s="105"/>
      <c r="O3" s="105"/>
      <c r="P3" s="105"/>
      <c r="Q3" s="105"/>
      <c r="R3" s="105"/>
      <c r="S3" s="105"/>
      <c r="T3" s="105"/>
      <c r="U3" s="105"/>
      <c r="V3" s="105"/>
      <c r="W3" s="105"/>
      <c r="X3" s="105"/>
    </row>
    <row r="4" spans="1:24" ht="21" customHeight="1">
      <c r="A4" s="275" t="s">
        <v>709</v>
      </c>
      <c r="B4" s="275"/>
      <c r="C4" s="277" t="s">
        <v>710</v>
      </c>
      <c r="D4" s="277"/>
      <c r="E4" s="277"/>
      <c r="F4" s="277"/>
      <c r="G4" s="277"/>
      <c r="H4" s="277"/>
      <c r="I4" s="277"/>
      <c r="J4" s="277"/>
      <c r="K4" s="277"/>
      <c r="L4" s="277"/>
      <c r="M4" s="277"/>
      <c r="N4" s="105"/>
      <c r="O4" s="105"/>
      <c r="P4" s="105"/>
      <c r="Q4" s="105"/>
      <c r="R4" s="105"/>
      <c r="S4" s="105"/>
      <c r="T4" s="105"/>
      <c r="U4" s="105"/>
      <c r="V4" s="105"/>
      <c r="W4" s="105"/>
      <c r="X4" s="105"/>
    </row>
    <row r="5" spans="1:24" ht="18.75" customHeight="1">
      <c r="A5" s="275" t="s">
        <v>711</v>
      </c>
      <c r="B5" s="275"/>
      <c r="C5" s="277" t="s">
        <v>712</v>
      </c>
      <c r="D5" s="277"/>
      <c r="E5" s="277"/>
      <c r="F5" s="277"/>
      <c r="G5" s="277"/>
      <c r="H5" s="277"/>
      <c r="I5" s="277"/>
      <c r="J5" s="277"/>
      <c r="K5" s="277"/>
      <c r="L5" s="277"/>
      <c r="M5" s="277"/>
      <c r="N5" s="105"/>
      <c r="O5" s="105"/>
      <c r="P5" s="105"/>
      <c r="Q5" s="105"/>
      <c r="R5" s="105"/>
      <c r="S5" s="105"/>
      <c r="T5" s="105"/>
      <c r="U5" s="105"/>
      <c r="V5" s="105"/>
      <c r="W5" s="105"/>
      <c r="X5" s="105"/>
    </row>
    <row r="6" spans="1:24" ht="15" customHeight="1">
      <c r="A6" s="275" t="s">
        <v>13</v>
      </c>
      <c r="B6" s="275"/>
      <c r="C6" s="278" t="s">
        <v>713</v>
      </c>
      <c r="D6" s="278"/>
      <c r="E6" s="278"/>
      <c r="F6" s="278"/>
      <c r="G6" s="278"/>
      <c r="H6" s="278"/>
      <c r="I6" s="278"/>
      <c r="J6" s="278"/>
      <c r="K6" s="278"/>
      <c r="L6" s="278"/>
      <c r="M6" s="278"/>
      <c r="N6" s="105"/>
      <c r="O6" s="105"/>
      <c r="P6" s="105"/>
      <c r="Q6" s="105"/>
      <c r="R6" s="105"/>
      <c r="S6" s="105"/>
      <c r="T6" s="105"/>
      <c r="U6" s="105"/>
      <c r="V6" s="105"/>
      <c r="W6" s="105"/>
      <c r="X6" s="105"/>
    </row>
    <row r="7" spans="1:24" ht="6.75" customHeight="1">
      <c r="A7" s="279"/>
      <c r="B7" s="279"/>
      <c r="C7" s="280"/>
      <c r="D7" s="280"/>
      <c r="E7" s="280"/>
      <c r="F7" s="280"/>
      <c r="G7" s="280"/>
      <c r="H7" s="280"/>
      <c r="I7" s="280"/>
      <c r="J7" s="280"/>
      <c r="K7" s="280"/>
      <c r="L7" s="280"/>
      <c r="M7" s="280"/>
      <c r="N7" s="104"/>
      <c r="O7" s="104"/>
      <c r="P7" s="104"/>
      <c r="Q7" s="104"/>
      <c r="R7" s="104"/>
      <c r="S7" s="104"/>
      <c r="T7" s="104"/>
      <c r="U7" s="104"/>
      <c r="V7" s="104"/>
      <c r="W7" s="104"/>
      <c r="X7" s="104"/>
    </row>
    <row r="8" spans="1:24" ht="14.25" customHeight="1">
      <c r="A8" s="281" t="s">
        <v>714</v>
      </c>
      <c r="B8" s="281"/>
      <c r="C8" s="281"/>
      <c r="D8" s="281"/>
      <c r="E8" s="281"/>
      <c r="F8" s="281"/>
      <c r="G8" s="281"/>
      <c r="H8" s="281"/>
      <c r="I8" s="281"/>
      <c r="J8" s="281"/>
      <c r="K8" s="281"/>
      <c r="L8" s="281"/>
      <c r="M8" s="281"/>
      <c r="N8" s="281"/>
      <c r="O8" s="281"/>
      <c r="P8" s="281"/>
      <c r="Q8" s="281"/>
      <c r="R8" s="281"/>
      <c r="S8" s="281"/>
      <c r="T8" s="281"/>
      <c r="U8" s="281"/>
      <c r="V8" s="281"/>
      <c r="W8" s="281"/>
      <c r="X8" s="281"/>
    </row>
    <row r="9" spans="1:24" ht="19.5" customHeight="1">
      <c r="A9" s="106" t="s">
        <v>715</v>
      </c>
      <c r="B9" s="282"/>
      <c r="C9" s="282"/>
      <c r="D9" s="282" t="s">
        <v>716</v>
      </c>
      <c r="E9" s="282"/>
      <c r="F9" s="282"/>
      <c r="G9" s="282"/>
      <c r="H9" s="282"/>
      <c r="I9" s="282"/>
      <c r="J9" s="282"/>
      <c r="K9" s="282"/>
      <c r="L9" s="282"/>
      <c r="M9" s="282"/>
      <c r="N9" s="283" t="s">
        <v>717</v>
      </c>
      <c r="O9" s="283"/>
      <c r="P9" s="283"/>
      <c r="Q9" s="284" t="s">
        <v>718</v>
      </c>
      <c r="R9" s="284"/>
      <c r="S9" s="284"/>
      <c r="T9" s="283" t="s">
        <v>719</v>
      </c>
      <c r="U9" s="283"/>
      <c r="V9" s="283"/>
      <c r="W9" s="283"/>
      <c r="X9" s="283"/>
    </row>
    <row r="10" spans="1:24" ht="27" customHeight="1">
      <c r="A10" s="107">
        <v>1</v>
      </c>
      <c r="B10" s="285"/>
      <c r="C10" s="285"/>
      <c r="D10" s="286" t="s">
        <v>720</v>
      </c>
      <c r="E10" s="286"/>
      <c r="F10" s="286"/>
      <c r="G10" s="286"/>
      <c r="H10" s="286"/>
      <c r="I10" s="286"/>
      <c r="J10" s="286"/>
      <c r="K10" s="286"/>
      <c r="L10" s="286"/>
      <c r="M10" s="286"/>
      <c r="N10" s="287">
        <v>1</v>
      </c>
      <c r="O10" s="287"/>
      <c r="P10" s="108" t="s">
        <v>721</v>
      </c>
      <c r="Q10" s="288">
        <v>0</v>
      </c>
      <c r="R10" s="288"/>
      <c r="S10" s="288"/>
      <c r="T10" s="289">
        <f aca="true" t="shared" si="0" ref="T10:T17">Q10*N10</f>
        <v>0</v>
      </c>
      <c r="U10" s="289"/>
      <c r="V10" s="289"/>
      <c r="W10" s="289"/>
      <c r="X10" s="289"/>
    </row>
    <row r="11" spans="1:24" ht="19.5" customHeight="1">
      <c r="A11" s="109">
        <v>2</v>
      </c>
      <c r="B11" s="290"/>
      <c r="C11" s="290"/>
      <c r="D11" s="291" t="s">
        <v>722</v>
      </c>
      <c r="E11" s="291"/>
      <c r="F11" s="291"/>
      <c r="G11" s="291"/>
      <c r="H11" s="291"/>
      <c r="I11" s="291"/>
      <c r="J11" s="291"/>
      <c r="K11" s="291"/>
      <c r="L11" s="291"/>
      <c r="M11" s="291"/>
      <c r="N11" s="292">
        <v>1</v>
      </c>
      <c r="O11" s="292"/>
      <c r="P11" s="110" t="s">
        <v>721</v>
      </c>
      <c r="Q11" s="293">
        <v>0</v>
      </c>
      <c r="R11" s="293"/>
      <c r="S11" s="293"/>
      <c r="T11" s="294">
        <f t="shared" si="0"/>
        <v>0</v>
      </c>
      <c r="U11" s="294"/>
      <c r="V11" s="294"/>
      <c r="W11" s="294"/>
      <c r="X11" s="294"/>
    </row>
    <row r="12" spans="1:24" ht="19.5" customHeight="1">
      <c r="A12" s="109">
        <v>3</v>
      </c>
      <c r="B12" s="290"/>
      <c r="C12" s="290"/>
      <c r="D12" s="291" t="s">
        <v>723</v>
      </c>
      <c r="E12" s="291"/>
      <c r="F12" s="291"/>
      <c r="G12" s="291"/>
      <c r="H12" s="291"/>
      <c r="I12" s="291"/>
      <c r="J12" s="291"/>
      <c r="K12" s="291"/>
      <c r="L12" s="291"/>
      <c r="M12" s="291"/>
      <c r="N12" s="292">
        <v>1</v>
      </c>
      <c r="O12" s="292"/>
      <c r="P12" s="110" t="s">
        <v>721</v>
      </c>
      <c r="Q12" s="293">
        <v>0</v>
      </c>
      <c r="R12" s="293"/>
      <c r="S12" s="293"/>
      <c r="T12" s="294">
        <f t="shared" si="0"/>
        <v>0</v>
      </c>
      <c r="U12" s="294"/>
      <c r="V12" s="294"/>
      <c r="W12" s="294"/>
      <c r="X12" s="294"/>
    </row>
    <row r="13" spans="1:24" ht="24" customHeight="1">
      <c r="A13" s="109">
        <v>4</v>
      </c>
      <c r="B13" s="290"/>
      <c r="C13" s="290"/>
      <c r="D13" s="295" t="s">
        <v>724</v>
      </c>
      <c r="E13" s="295"/>
      <c r="F13" s="295"/>
      <c r="G13" s="295"/>
      <c r="H13" s="295"/>
      <c r="I13" s="295"/>
      <c r="J13" s="295"/>
      <c r="K13" s="295"/>
      <c r="L13" s="295"/>
      <c r="M13" s="295"/>
      <c r="N13" s="292">
        <v>1</v>
      </c>
      <c r="O13" s="292"/>
      <c r="P13" s="110" t="s">
        <v>721</v>
      </c>
      <c r="Q13" s="293">
        <v>0</v>
      </c>
      <c r="R13" s="293"/>
      <c r="S13" s="293"/>
      <c r="T13" s="294">
        <f t="shared" si="0"/>
        <v>0</v>
      </c>
      <c r="U13" s="294"/>
      <c r="V13" s="294"/>
      <c r="W13" s="294"/>
      <c r="X13" s="294"/>
    </row>
    <row r="14" spans="1:26" ht="19.5" customHeight="1">
      <c r="A14" s="109">
        <v>5</v>
      </c>
      <c r="B14" s="290"/>
      <c r="C14" s="290"/>
      <c r="D14" s="291" t="s">
        <v>725</v>
      </c>
      <c r="E14" s="291"/>
      <c r="F14" s="291"/>
      <c r="G14" s="291"/>
      <c r="H14" s="291"/>
      <c r="I14" s="291"/>
      <c r="J14" s="291"/>
      <c r="K14" s="291"/>
      <c r="L14" s="291"/>
      <c r="M14" s="291"/>
      <c r="N14" s="292">
        <v>1</v>
      </c>
      <c r="O14" s="292"/>
      <c r="P14" s="110" t="s">
        <v>721</v>
      </c>
      <c r="Q14" s="293">
        <v>0</v>
      </c>
      <c r="R14" s="293"/>
      <c r="S14" s="293"/>
      <c r="T14" s="294">
        <f t="shared" si="0"/>
        <v>0</v>
      </c>
      <c r="U14" s="294"/>
      <c r="V14" s="294"/>
      <c r="W14" s="294"/>
      <c r="X14" s="294"/>
      <c r="Z14" s="102" t="s">
        <v>58</v>
      </c>
    </row>
    <row r="15" spans="1:24" ht="32.25" customHeight="1">
      <c r="A15" s="109">
        <v>6</v>
      </c>
      <c r="B15" s="290"/>
      <c r="C15" s="290"/>
      <c r="D15" s="296" t="s">
        <v>726</v>
      </c>
      <c r="E15" s="296"/>
      <c r="F15" s="296"/>
      <c r="G15" s="296"/>
      <c r="H15" s="296"/>
      <c r="I15" s="296"/>
      <c r="J15" s="296"/>
      <c r="K15" s="296"/>
      <c r="L15" s="296"/>
      <c r="M15" s="296"/>
      <c r="N15" s="292">
        <v>1</v>
      </c>
      <c r="O15" s="292"/>
      <c r="P15" s="110" t="s">
        <v>721</v>
      </c>
      <c r="Q15" s="293">
        <v>0</v>
      </c>
      <c r="R15" s="293"/>
      <c r="S15" s="293"/>
      <c r="T15" s="294">
        <f t="shared" si="0"/>
        <v>0</v>
      </c>
      <c r="U15" s="294"/>
      <c r="V15" s="294"/>
      <c r="W15" s="294"/>
      <c r="X15" s="294"/>
    </row>
    <row r="16" spans="1:24" ht="32.25" customHeight="1">
      <c r="A16" s="109">
        <v>7</v>
      </c>
      <c r="B16" s="290"/>
      <c r="C16" s="290"/>
      <c r="D16" s="291" t="s">
        <v>727</v>
      </c>
      <c r="E16" s="291"/>
      <c r="F16" s="291"/>
      <c r="G16" s="291"/>
      <c r="H16" s="291"/>
      <c r="I16" s="291"/>
      <c r="J16" s="291"/>
      <c r="K16" s="291"/>
      <c r="L16" s="291"/>
      <c r="M16" s="291"/>
      <c r="N16" s="292">
        <v>1</v>
      </c>
      <c r="O16" s="292"/>
      <c r="P16" s="110" t="s">
        <v>721</v>
      </c>
      <c r="Q16" s="293">
        <v>0</v>
      </c>
      <c r="R16" s="293"/>
      <c r="S16" s="293"/>
      <c r="T16" s="294">
        <f t="shared" si="0"/>
        <v>0</v>
      </c>
      <c r="U16" s="294"/>
      <c r="V16" s="294"/>
      <c r="W16" s="294"/>
      <c r="X16" s="294"/>
    </row>
    <row r="17" spans="1:24" ht="26.25" customHeight="1">
      <c r="A17" s="111">
        <v>8</v>
      </c>
      <c r="B17" s="297"/>
      <c r="C17" s="297"/>
      <c r="D17" s="298" t="s">
        <v>728</v>
      </c>
      <c r="E17" s="298"/>
      <c r="F17" s="298"/>
      <c r="G17" s="298"/>
      <c r="H17" s="298"/>
      <c r="I17" s="298"/>
      <c r="J17" s="298"/>
      <c r="K17" s="298"/>
      <c r="L17" s="298"/>
      <c r="M17" s="298"/>
      <c r="N17" s="299">
        <v>1</v>
      </c>
      <c r="O17" s="299"/>
      <c r="P17" s="112" t="s">
        <v>721</v>
      </c>
      <c r="Q17" s="300">
        <v>0</v>
      </c>
      <c r="R17" s="300"/>
      <c r="S17" s="300"/>
      <c r="T17" s="301">
        <f t="shared" si="0"/>
        <v>0</v>
      </c>
      <c r="U17" s="301"/>
      <c r="V17" s="301"/>
      <c r="W17" s="301"/>
      <c r="X17" s="301"/>
    </row>
    <row r="18" spans="1:28" ht="18.75" customHeight="1">
      <c r="A18" s="113"/>
      <c r="B18" s="114"/>
      <c r="C18" s="114"/>
      <c r="D18" s="114"/>
      <c r="E18" s="114"/>
      <c r="F18" s="114"/>
      <c r="G18" s="114"/>
      <c r="H18" s="114"/>
      <c r="I18" s="114"/>
      <c r="J18" s="114"/>
      <c r="K18" s="113"/>
      <c r="L18" s="115"/>
      <c r="M18" s="302" t="s">
        <v>729</v>
      </c>
      <c r="N18" s="302"/>
      <c r="O18" s="302"/>
      <c r="P18" s="302"/>
      <c r="Q18" s="302"/>
      <c r="R18" s="302"/>
      <c r="S18" s="302"/>
      <c r="T18" s="303">
        <f>SUM(T10:X17)</f>
        <v>0</v>
      </c>
      <c r="U18" s="303"/>
      <c r="V18" s="303"/>
      <c r="W18" s="303"/>
      <c r="X18" s="303"/>
      <c r="Y18" s="116"/>
      <c r="Z18" s="116"/>
      <c r="AA18" s="116"/>
      <c r="AB18" s="116"/>
    </row>
    <row r="19" spans="2:28" ht="18.75" customHeight="1">
      <c r="B19" s="117"/>
      <c r="C19" s="117"/>
      <c r="D19" s="117"/>
      <c r="E19" s="117"/>
      <c r="F19" s="117"/>
      <c r="G19" s="117"/>
      <c r="H19" s="117"/>
      <c r="I19" s="117"/>
      <c r="J19" s="117"/>
      <c r="L19" s="104"/>
      <c r="M19" s="118"/>
      <c r="N19" s="118"/>
      <c r="O19" s="118"/>
      <c r="P19" s="118"/>
      <c r="Q19" s="118"/>
      <c r="R19" s="118"/>
      <c r="S19" s="118"/>
      <c r="T19" s="119"/>
      <c r="U19" s="119"/>
      <c r="V19" s="119"/>
      <c r="W19" s="119"/>
      <c r="X19" s="119"/>
      <c r="Y19" s="116"/>
      <c r="Z19" s="116"/>
      <c r="AA19" s="116"/>
      <c r="AB19" s="116"/>
    </row>
    <row r="20" spans="1:24" ht="14.25" customHeight="1">
      <c r="A20" s="304" t="s">
        <v>730</v>
      </c>
      <c r="B20" s="304"/>
      <c r="C20" s="304"/>
      <c r="D20" s="304"/>
      <c r="E20" s="304"/>
      <c r="F20" s="304"/>
      <c r="G20" s="304"/>
      <c r="H20" s="304"/>
      <c r="I20" s="304"/>
      <c r="J20" s="304"/>
      <c r="K20" s="304"/>
      <c r="L20" s="304"/>
      <c r="M20" s="304"/>
      <c r="N20" s="304"/>
      <c r="O20" s="304"/>
      <c r="P20" s="304"/>
      <c r="Q20" s="304"/>
      <c r="R20" s="304"/>
      <c r="S20" s="304"/>
      <c r="T20" s="304"/>
      <c r="U20" s="304"/>
      <c r="V20" s="304"/>
      <c r="W20" s="304"/>
      <c r="X20" s="304"/>
    </row>
    <row r="21" spans="1:24" ht="19.5" customHeight="1">
      <c r="A21" s="106" t="s">
        <v>715</v>
      </c>
      <c r="B21" s="282"/>
      <c r="C21" s="282"/>
      <c r="D21" s="282" t="s">
        <v>716</v>
      </c>
      <c r="E21" s="282"/>
      <c r="F21" s="282"/>
      <c r="G21" s="282"/>
      <c r="H21" s="282"/>
      <c r="I21" s="282"/>
      <c r="J21" s="282"/>
      <c r="K21" s="282"/>
      <c r="L21" s="282"/>
      <c r="M21" s="282"/>
      <c r="N21" s="283" t="s">
        <v>717</v>
      </c>
      <c r="O21" s="283"/>
      <c r="P21" s="283"/>
      <c r="Q21" s="283" t="s">
        <v>718</v>
      </c>
      <c r="R21" s="283"/>
      <c r="S21" s="283"/>
      <c r="T21" s="283" t="s">
        <v>719</v>
      </c>
      <c r="U21" s="283"/>
      <c r="V21" s="283"/>
      <c r="W21" s="283"/>
      <c r="X21" s="283"/>
    </row>
    <row r="22" spans="1:24" ht="62.25" customHeight="1">
      <c r="A22" s="305">
        <v>9</v>
      </c>
      <c r="B22" s="306"/>
      <c r="C22" s="306"/>
      <c r="D22" s="307" t="s">
        <v>731</v>
      </c>
      <c r="E22" s="307"/>
      <c r="F22" s="307"/>
      <c r="G22" s="307"/>
      <c r="H22" s="307"/>
      <c r="I22" s="307"/>
      <c r="J22" s="307"/>
      <c r="K22" s="307"/>
      <c r="L22" s="307"/>
      <c r="M22" s="307"/>
      <c r="N22" s="287">
        <v>1990</v>
      </c>
      <c r="O22" s="287"/>
      <c r="P22" s="108" t="s">
        <v>243</v>
      </c>
      <c r="Q22" s="308">
        <v>0</v>
      </c>
      <c r="R22" s="308"/>
      <c r="S22" s="308"/>
      <c r="T22" s="309">
        <f>Q22*N22</f>
        <v>0</v>
      </c>
      <c r="U22" s="309"/>
      <c r="V22" s="309"/>
      <c r="W22" s="309"/>
      <c r="X22" s="309"/>
    </row>
    <row r="23" spans="1:24" ht="109.5" customHeight="1">
      <c r="A23" s="305"/>
      <c r="B23" s="290"/>
      <c r="C23" s="290"/>
      <c r="D23" s="310" t="s">
        <v>732</v>
      </c>
      <c r="E23" s="310"/>
      <c r="F23" s="310"/>
      <c r="G23" s="310"/>
      <c r="H23" s="310"/>
      <c r="I23" s="310"/>
      <c r="J23" s="310"/>
      <c r="K23" s="310"/>
      <c r="L23" s="310"/>
      <c r="M23" s="310"/>
      <c r="N23" s="292">
        <v>10</v>
      </c>
      <c r="O23" s="292"/>
      <c r="P23" s="110" t="s">
        <v>616</v>
      </c>
      <c r="Q23" s="308"/>
      <c r="R23" s="308"/>
      <c r="S23" s="308"/>
      <c r="T23" s="309"/>
      <c r="U23" s="309"/>
      <c r="V23" s="309"/>
      <c r="W23" s="309"/>
      <c r="X23" s="309"/>
    </row>
    <row r="24" spans="1:24" ht="42" customHeight="1">
      <c r="A24" s="305"/>
      <c r="B24" s="290"/>
      <c r="C24" s="290"/>
      <c r="D24" s="310" t="s">
        <v>733</v>
      </c>
      <c r="E24" s="310"/>
      <c r="F24" s="310"/>
      <c r="G24" s="310"/>
      <c r="H24" s="310"/>
      <c r="I24" s="310"/>
      <c r="J24" s="310"/>
      <c r="K24" s="310"/>
      <c r="L24" s="310"/>
      <c r="M24" s="310"/>
      <c r="N24" s="292">
        <v>10</v>
      </c>
      <c r="O24" s="292"/>
      <c r="P24" s="110" t="s">
        <v>616</v>
      </c>
      <c r="Q24" s="308"/>
      <c r="R24" s="308"/>
      <c r="S24" s="308"/>
      <c r="T24" s="309"/>
      <c r="U24" s="309"/>
      <c r="V24" s="309"/>
      <c r="W24" s="309"/>
      <c r="X24" s="309"/>
    </row>
    <row r="25" spans="1:24" ht="40.5" customHeight="1">
      <c r="A25" s="305"/>
      <c r="B25" s="290"/>
      <c r="C25" s="290"/>
      <c r="D25" s="310" t="s">
        <v>734</v>
      </c>
      <c r="E25" s="310"/>
      <c r="F25" s="310"/>
      <c r="G25" s="310"/>
      <c r="H25" s="310"/>
      <c r="I25" s="310"/>
      <c r="J25" s="310"/>
      <c r="K25" s="310"/>
      <c r="L25" s="310"/>
      <c r="M25" s="310"/>
      <c r="N25" s="292">
        <v>10</v>
      </c>
      <c r="O25" s="292"/>
      <c r="P25" s="110" t="s">
        <v>616</v>
      </c>
      <c r="Q25" s="308"/>
      <c r="R25" s="308"/>
      <c r="S25" s="308"/>
      <c r="T25" s="309"/>
      <c r="U25" s="309"/>
      <c r="V25" s="309"/>
      <c r="W25" s="309"/>
      <c r="X25" s="309"/>
    </row>
    <row r="26" spans="1:24" ht="64.5" customHeight="1">
      <c r="A26" s="305"/>
      <c r="B26" s="297"/>
      <c r="C26" s="297"/>
      <c r="D26" s="311" t="s">
        <v>735</v>
      </c>
      <c r="E26" s="311"/>
      <c r="F26" s="311"/>
      <c r="G26" s="311"/>
      <c r="H26" s="311"/>
      <c r="I26" s="311"/>
      <c r="J26" s="311"/>
      <c r="K26" s="311"/>
      <c r="L26" s="311"/>
      <c r="M26" s="311"/>
      <c r="N26" s="299">
        <v>1990</v>
      </c>
      <c r="O26" s="299"/>
      <c r="P26" s="112" t="s">
        <v>243</v>
      </c>
      <c r="Q26" s="308"/>
      <c r="R26" s="308"/>
      <c r="S26" s="308"/>
      <c r="T26" s="309"/>
      <c r="U26" s="309"/>
      <c r="V26" s="309"/>
      <c r="W26" s="309"/>
      <c r="X26" s="309"/>
    </row>
    <row r="27" spans="2:28" ht="18.75" customHeight="1">
      <c r="B27" s="117"/>
      <c r="C27" s="117"/>
      <c r="D27" s="117"/>
      <c r="E27" s="117"/>
      <c r="F27" s="117"/>
      <c r="G27" s="117"/>
      <c r="H27" s="117"/>
      <c r="I27" s="117"/>
      <c r="J27" s="117"/>
      <c r="L27" s="120"/>
      <c r="M27" s="281" t="s">
        <v>736</v>
      </c>
      <c r="N27" s="281"/>
      <c r="O27" s="281"/>
      <c r="P27" s="281"/>
      <c r="Q27" s="281"/>
      <c r="R27" s="281"/>
      <c r="S27" s="281"/>
      <c r="T27" s="312">
        <f>T22</f>
        <v>0</v>
      </c>
      <c r="U27" s="312"/>
      <c r="V27" s="312"/>
      <c r="W27" s="312"/>
      <c r="X27" s="312"/>
      <c r="Y27" s="116"/>
      <c r="Z27" s="116"/>
      <c r="AA27" s="116"/>
      <c r="AB27" s="116"/>
    </row>
    <row r="28" spans="2:28" ht="18.75" customHeight="1">
      <c r="B28" s="117"/>
      <c r="C28" s="117"/>
      <c r="D28" s="117"/>
      <c r="E28" s="117"/>
      <c r="F28" s="117"/>
      <c r="G28" s="117"/>
      <c r="H28" s="117"/>
      <c r="I28" s="117"/>
      <c r="J28" s="117"/>
      <c r="L28" s="104"/>
      <c r="M28" s="121"/>
      <c r="N28" s="121"/>
      <c r="O28" s="121"/>
      <c r="P28" s="121"/>
      <c r="Q28" s="121"/>
      <c r="R28" s="121"/>
      <c r="S28" s="121"/>
      <c r="T28" s="122"/>
      <c r="U28" s="122"/>
      <c r="V28" s="122"/>
      <c r="W28" s="122"/>
      <c r="X28" s="122"/>
      <c r="Y28" s="116"/>
      <c r="Z28" s="116"/>
      <c r="AA28" s="116"/>
      <c r="AB28" s="116"/>
    </row>
    <row r="29" spans="1:28" ht="14.25" customHeight="1">
      <c r="A29" s="281" t="s">
        <v>737</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116"/>
      <c r="Z29" s="116"/>
      <c r="AA29" s="116"/>
      <c r="AB29" s="116"/>
    </row>
    <row r="30" spans="1:28" ht="24" customHeight="1">
      <c r="A30" s="123" t="s">
        <v>715</v>
      </c>
      <c r="B30" s="313"/>
      <c r="C30" s="313"/>
      <c r="D30" s="313" t="s">
        <v>716</v>
      </c>
      <c r="E30" s="313"/>
      <c r="F30" s="313"/>
      <c r="G30" s="313"/>
      <c r="H30" s="313"/>
      <c r="I30" s="313"/>
      <c r="J30" s="313"/>
      <c r="K30" s="313"/>
      <c r="L30" s="313"/>
      <c r="M30" s="313"/>
      <c r="N30" s="314" t="s">
        <v>717</v>
      </c>
      <c r="O30" s="314"/>
      <c r="P30" s="314"/>
      <c r="Q30" s="314" t="s">
        <v>738</v>
      </c>
      <c r="R30" s="314"/>
      <c r="S30" s="314"/>
      <c r="T30" s="283" t="s">
        <v>739</v>
      </c>
      <c r="U30" s="283"/>
      <c r="V30" s="283"/>
      <c r="W30" s="283"/>
      <c r="X30" s="283"/>
      <c r="Y30" s="116"/>
      <c r="Z30" s="116"/>
      <c r="AA30" s="116"/>
      <c r="AB30" s="116"/>
    </row>
    <row r="31" spans="1:24" ht="49.5" customHeight="1">
      <c r="A31" s="124">
        <v>10</v>
      </c>
      <c r="B31" s="315"/>
      <c r="C31" s="315"/>
      <c r="D31" s="316" t="s">
        <v>740</v>
      </c>
      <c r="E31" s="316"/>
      <c r="F31" s="316"/>
      <c r="G31" s="316"/>
      <c r="H31" s="316"/>
      <c r="I31" s="316"/>
      <c r="J31" s="316"/>
      <c r="K31" s="316"/>
      <c r="L31" s="316"/>
      <c r="M31" s="316"/>
      <c r="N31" s="287">
        <v>20</v>
      </c>
      <c r="O31" s="287"/>
      <c r="P31" s="108" t="s">
        <v>616</v>
      </c>
      <c r="Q31" s="317">
        <v>0</v>
      </c>
      <c r="R31" s="317"/>
      <c r="S31" s="317"/>
      <c r="T31" s="318">
        <f aca="true" t="shared" si="1" ref="T31:T54">Q31*N31</f>
        <v>0</v>
      </c>
      <c r="U31" s="318"/>
      <c r="V31" s="318"/>
      <c r="W31" s="318"/>
      <c r="X31" s="318"/>
    </row>
    <row r="32" spans="1:24" ht="63" customHeight="1">
      <c r="A32" s="125">
        <v>11</v>
      </c>
      <c r="B32" s="319"/>
      <c r="C32" s="319"/>
      <c r="D32" s="310" t="s">
        <v>741</v>
      </c>
      <c r="E32" s="310"/>
      <c r="F32" s="310"/>
      <c r="G32" s="310"/>
      <c r="H32" s="310"/>
      <c r="I32" s="310"/>
      <c r="J32" s="310"/>
      <c r="K32" s="310"/>
      <c r="L32" s="310"/>
      <c r="M32" s="310"/>
      <c r="N32" s="320">
        <v>700</v>
      </c>
      <c r="O32" s="320"/>
      <c r="P32" s="110" t="s">
        <v>243</v>
      </c>
      <c r="Q32" s="321">
        <v>0</v>
      </c>
      <c r="R32" s="321"/>
      <c r="S32" s="321"/>
      <c r="T32" s="322">
        <f t="shared" si="1"/>
        <v>0</v>
      </c>
      <c r="U32" s="322"/>
      <c r="V32" s="322"/>
      <c r="W32" s="322"/>
      <c r="X32" s="322"/>
    </row>
    <row r="33" spans="1:24" ht="27.75" customHeight="1">
      <c r="A33" s="126">
        <v>12</v>
      </c>
      <c r="B33" s="323"/>
      <c r="C33" s="323"/>
      <c r="D33" s="324" t="s">
        <v>742</v>
      </c>
      <c r="E33" s="324"/>
      <c r="F33" s="324"/>
      <c r="G33" s="324"/>
      <c r="H33" s="324"/>
      <c r="I33" s="324"/>
      <c r="J33" s="324"/>
      <c r="K33" s="324"/>
      <c r="L33" s="324"/>
      <c r="M33" s="324"/>
      <c r="N33" s="292">
        <v>15</v>
      </c>
      <c r="O33" s="292"/>
      <c r="P33" s="110" t="s">
        <v>616</v>
      </c>
      <c r="Q33" s="321">
        <v>0</v>
      </c>
      <c r="R33" s="321"/>
      <c r="S33" s="321"/>
      <c r="T33" s="322">
        <f t="shared" si="1"/>
        <v>0</v>
      </c>
      <c r="U33" s="322"/>
      <c r="V33" s="322"/>
      <c r="W33" s="322"/>
      <c r="X33" s="322"/>
    </row>
    <row r="34" spans="1:24" ht="30" customHeight="1">
      <c r="A34" s="125">
        <v>13</v>
      </c>
      <c r="B34" s="323"/>
      <c r="C34" s="323"/>
      <c r="D34" s="324" t="s">
        <v>743</v>
      </c>
      <c r="E34" s="324"/>
      <c r="F34" s="324"/>
      <c r="G34" s="324"/>
      <c r="H34" s="324"/>
      <c r="I34" s="324"/>
      <c r="J34" s="324"/>
      <c r="K34" s="324"/>
      <c r="L34" s="324"/>
      <c r="M34" s="324"/>
      <c r="N34" s="292">
        <v>10</v>
      </c>
      <c r="O34" s="292"/>
      <c r="P34" s="110" t="s">
        <v>616</v>
      </c>
      <c r="Q34" s="321">
        <v>0</v>
      </c>
      <c r="R34" s="321"/>
      <c r="S34" s="321"/>
      <c r="T34" s="322">
        <f t="shared" si="1"/>
        <v>0</v>
      </c>
      <c r="U34" s="322"/>
      <c r="V34" s="322"/>
      <c r="W34" s="322"/>
      <c r="X34" s="322"/>
    </row>
    <row r="35" spans="1:24" ht="133.5" customHeight="1">
      <c r="A35" s="126">
        <v>14</v>
      </c>
      <c r="B35" s="323"/>
      <c r="C35" s="323"/>
      <c r="D35" s="324" t="s">
        <v>744</v>
      </c>
      <c r="E35" s="324"/>
      <c r="F35" s="324"/>
      <c r="G35" s="324"/>
      <c r="H35" s="324"/>
      <c r="I35" s="324"/>
      <c r="J35" s="324"/>
      <c r="K35" s="324"/>
      <c r="L35" s="324"/>
      <c r="M35" s="324"/>
      <c r="N35" s="292">
        <v>1</v>
      </c>
      <c r="O35" s="292"/>
      <c r="P35" s="110" t="s">
        <v>616</v>
      </c>
      <c r="Q35" s="325">
        <v>0</v>
      </c>
      <c r="R35" s="325"/>
      <c r="S35" s="325"/>
      <c r="T35" s="322">
        <f t="shared" si="1"/>
        <v>0</v>
      </c>
      <c r="U35" s="322"/>
      <c r="V35" s="322"/>
      <c r="W35" s="322"/>
      <c r="X35" s="322"/>
    </row>
    <row r="36" spans="1:24" ht="26.25" customHeight="1">
      <c r="A36" s="125">
        <v>15</v>
      </c>
      <c r="B36" s="319"/>
      <c r="C36" s="319"/>
      <c r="D36" s="324" t="s">
        <v>745</v>
      </c>
      <c r="E36" s="324"/>
      <c r="F36" s="324"/>
      <c r="G36" s="324"/>
      <c r="H36" s="324"/>
      <c r="I36" s="324"/>
      <c r="J36" s="324"/>
      <c r="K36" s="324"/>
      <c r="L36" s="324"/>
      <c r="M36" s="324"/>
      <c r="N36" s="292">
        <v>9</v>
      </c>
      <c r="O36" s="292"/>
      <c r="P36" s="110" t="s">
        <v>616</v>
      </c>
      <c r="Q36" s="321">
        <v>0</v>
      </c>
      <c r="R36" s="321"/>
      <c r="S36" s="321"/>
      <c r="T36" s="322">
        <f t="shared" si="1"/>
        <v>0</v>
      </c>
      <c r="U36" s="322"/>
      <c r="V36" s="322"/>
      <c r="W36" s="322"/>
      <c r="X36" s="322"/>
    </row>
    <row r="37" spans="1:24" ht="26.25" customHeight="1">
      <c r="A37" s="126">
        <v>16</v>
      </c>
      <c r="B37" s="319"/>
      <c r="C37" s="319"/>
      <c r="D37" s="324" t="s">
        <v>746</v>
      </c>
      <c r="E37" s="324"/>
      <c r="F37" s="324"/>
      <c r="G37" s="324"/>
      <c r="H37" s="324"/>
      <c r="I37" s="324"/>
      <c r="J37" s="324"/>
      <c r="K37" s="324"/>
      <c r="L37" s="324"/>
      <c r="M37" s="324"/>
      <c r="N37" s="292">
        <v>2</v>
      </c>
      <c r="O37" s="292"/>
      <c r="P37" s="127" t="s">
        <v>616</v>
      </c>
      <c r="Q37" s="321">
        <v>0</v>
      </c>
      <c r="R37" s="321"/>
      <c r="S37" s="321"/>
      <c r="T37" s="322">
        <f t="shared" si="1"/>
        <v>0</v>
      </c>
      <c r="U37" s="322"/>
      <c r="V37" s="322"/>
      <c r="W37" s="322"/>
      <c r="X37" s="322"/>
    </row>
    <row r="38" spans="1:24" ht="73.5" customHeight="1">
      <c r="A38" s="125">
        <v>17</v>
      </c>
      <c r="B38" s="319"/>
      <c r="C38" s="319"/>
      <c r="D38" s="326" t="s">
        <v>747</v>
      </c>
      <c r="E38" s="326"/>
      <c r="F38" s="326"/>
      <c r="G38" s="326"/>
      <c r="H38" s="326"/>
      <c r="I38" s="326"/>
      <c r="J38" s="326"/>
      <c r="K38" s="326"/>
      <c r="L38" s="326"/>
      <c r="M38" s="326"/>
      <c r="N38" s="292">
        <v>42</v>
      </c>
      <c r="O38" s="292"/>
      <c r="P38" s="127" t="s">
        <v>243</v>
      </c>
      <c r="Q38" s="321">
        <v>0</v>
      </c>
      <c r="R38" s="321"/>
      <c r="S38" s="321"/>
      <c r="T38" s="322">
        <f t="shared" si="1"/>
        <v>0</v>
      </c>
      <c r="U38" s="322"/>
      <c r="V38" s="322"/>
      <c r="W38" s="322"/>
      <c r="X38" s="322"/>
    </row>
    <row r="39" spans="1:24" ht="26.25" customHeight="1">
      <c r="A39" s="126">
        <v>18</v>
      </c>
      <c r="B39" s="319"/>
      <c r="C39" s="319"/>
      <c r="D39" s="327" t="s">
        <v>748</v>
      </c>
      <c r="E39" s="327"/>
      <c r="F39" s="327"/>
      <c r="G39" s="327"/>
      <c r="H39" s="327"/>
      <c r="I39" s="327"/>
      <c r="J39" s="327"/>
      <c r="K39" s="327"/>
      <c r="L39" s="327"/>
      <c r="M39" s="327"/>
      <c r="N39" s="292">
        <v>4</v>
      </c>
      <c r="O39" s="292"/>
      <c r="P39" s="127" t="s">
        <v>616</v>
      </c>
      <c r="Q39" s="321">
        <v>0</v>
      </c>
      <c r="R39" s="321"/>
      <c r="S39" s="321"/>
      <c r="T39" s="322">
        <f t="shared" si="1"/>
        <v>0</v>
      </c>
      <c r="U39" s="322"/>
      <c r="V39" s="322"/>
      <c r="W39" s="322"/>
      <c r="X39" s="322"/>
    </row>
    <row r="40" spans="1:25" ht="28.5" customHeight="1">
      <c r="A40" s="125">
        <v>19</v>
      </c>
      <c r="B40" s="319"/>
      <c r="C40" s="319"/>
      <c r="D40" s="324" t="s">
        <v>749</v>
      </c>
      <c r="E40" s="324"/>
      <c r="F40" s="324"/>
      <c r="G40" s="324"/>
      <c r="H40" s="324"/>
      <c r="I40" s="324"/>
      <c r="J40" s="324"/>
      <c r="K40" s="324"/>
      <c r="L40" s="324"/>
      <c r="M40" s="324"/>
      <c r="N40" s="292">
        <v>6</v>
      </c>
      <c r="O40" s="292"/>
      <c r="P40" s="127" t="s">
        <v>616</v>
      </c>
      <c r="Q40" s="321">
        <v>0</v>
      </c>
      <c r="R40" s="321"/>
      <c r="S40" s="321"/>
      <c r="T40" s="322">
        <f t="shared" si="1"/>
        <v>0</v>
      </c>
      <c r="U40" s="322"/>
      <c r="V40" s="322"/>
      <c r="W40" s="322"/>
      <c r="X40" s="322"/>
      <c r="Y40" s="128"/>
    </row>
    <row r="41" spans="1:24" ht="27" customHeight="1">
      <c r="A41" s="126">
        <v>20</v>
      </c>
      <c r="B41" s="323"/>
      <c r="C41" s="323"/>
      <c r="D41" s="324" t="s">
        <v>750</v>
      </c>
      <c r="E41" s="324"/>
      <c r="F41" s="324"/>
      <c r="G41" s="324"/>
      <c r="H41" s="324"/>
      <c r="I41" s="324"/>
      <c r="J41" s="324"/>
      <c r="K41" s="324"/>
      <c r="L41" s="324"/>
      <c r="M41" s="324"/>
      <c r="N41" s="292">
        <v>2</v>
      </c>
      <c r="O41" s="292"/>
      <c r="P41" s="110" t="s">
        <v>721</v>
      </c>
      <c r="Q41" s="321">
        <v>0</v>
      </c>
      <c r="R41" s="321"/>
      <c r="S41" s="321"/>
      <c r="T41" s="322">
        <f t="shared" si="1"/>
        <v>0</v>
      </c>
      <c r="U41" s="322"/>
      <c r="V41" s="322"/>
      <c r="W41" s="322"/>
      <c r="X41" s="322"/>
    </row>
    <row r="42" spans="1:24" ht="42.75" customHeight="1">
      <c r="A42" s="125">
        <v>21</v>
      </c>
      <c r="B42" s="323"/>
      <c r="C42" s="323"/>
      <c r="D42" s="328" t="s">
        <v>751</v>
      </c>
      <c r="E42" s="328"/>
      <c r="F42" s="328"/>
      <c r="G42" s="328"/>
      <c r="H42" s="328"/>
      <c r="I42" s="328"/>
      <c r="J42" s="328"/>
      <c r="K42" s="328"/>
      <c r="L42" s="328"/>
      <c r="M42" s="328"/>
      <c r="N42" s="292">
        <v>2</v>
      </c>
      <c r="O42" s="292"/>
      <c r="P42" s="110" t="s">
        <v>616</v>
      </c>
      <c r="Q42" s="321">
        <v>0</v>
      </c>
      <c r="R42" s="321"/>
      <c r="S42" s="321"/>
      <c r="T42" s="322">
        <f t="shared" si="1"/>
        <v>0</v>
      </c>
      <c r="U42" s="322"/>
      <c r="V42" s="322"/>
      <c r="W42" s="322"/>
      <c r="X42" s="322"/>
    </row>
    <row r="43" spans="1:24" ht="26.25" customHeight="1">
      <c r="A43" s="126">
        <v>22</v>
      </c>
      <c r="B43" s="319"/>
      <c r="C43" s="319"/>
      <c r="D43" s="324" t="s">
        <v>752</v>
      </c>
      <c r="E43" s="324"/>
      <c r="F43" s="324"/>
      <c r="G43" s="324"/>
      <c r="H43" s="324"/>
      <c r="I43" s="324"/>
      <c r="J43" s="324"/>
      <c r="K43" s="324"/>
      <c r="L43" s="324"/>
      <c r="M43" s="324"/>
      <c r="N43" s="292">
        <v>6</v>
      </c>
      <c r="O43" s="292"/>
      <c r="P43" s="110" t="s">
        <v>616</v>
      </c>
      <c r="Q43" s="321">
        <v>0</v>
      </c>
      <c r="R43" s="321"/>
      <c r="S43" s="321"/>
      <c r="T43" s="322">
        <f t="shared" si="1"/>
        <v>0</v>
      </c>
      <c r="U43" s="322"/>
      <c r="V43" s="322"/>
      <c r="W43" s="322"/>
      <c r="X43" s="322"/>
    </row>
    <row r="44" spans="1:28" ht="22.5" customHeight="1">
      <c r="A44" s="125">
        <v>23</v>
      </c>
      <c r="B44" s="319"/>
      <c r="C44" s="319"/>
      <c r="D44" s="329" t="s">
        <v>753</v>
      </c>
      <c r="E44" s="329"/>
      <c r="F44" s="329"/>
      <c r="G44" s="329"/>
      <c r="H44" s="329"/>
      <c r="I44" s="329"/>
      <c r="J44" s="329"/>
      <c r="K44" s="329"/>
      <c r="L44" s="329"/>
      <c r="M44" s="329"/>
      <c r="N44" s="320">
        <v>2</v>
      </c>
      <c r="O44" s="320"/>
      <c r="P44" s="110" t="s">
        <v>616</v>
      </c>
      <c r="Q44" s="321">
        <v>0</v>
      </c>
      <c r="R44" s="321"/>
      <c r="S44" s="321"/>
      <c r="T44" s="322">
        <f t="shared" si="1"/>
        <v>0</v>
      </c>
      <c r="U44" s="322"/>
      <c r="V44" s="322"/>
      <c r="W44" s="322"/>
      <c r="X44" s="322"/>
      <c r="Y44" s="129"/>
      <c r="Z44" s="129"/>
      <c r="AA44" s="129"/>
      <c r="AB44" s="129"/>
    </row>
    <row r="45" spans="1:28" ht="24.75" customHeight="1">
      <c r="A45" s="126">
        <v>24</v>
      </c>
      <c r="B45" s="319"/>
      <c r="C45" s="319"/>
      <c r="D45" s="330" t="s">
        <v>754</v>
      </c>
      <c r="E45" s="330"/>
      <c r="F45" s="330"/>
      <c r="G45" s="330"/>
      <c r="H45" s="330"/>
      <c r="I45" s="330"/>
      <c r="J45" s="330"/>
      <c r="K45" s="330"/>
      <c r="L45" s="330"/>
      <c r="M45" s="330"/>
      <c r="N45" s="320">
        <v>12</v>
      </c>
      <c r="O45" s="320"/>
      <c r="P45" s="110" t="s">
        <v>243</v>
      </c>
      <c r="Q45" s="321">
        <v>0</v>
      </c>
      <c r="R45" s="321"/>
      <c r="S45" s="321"/>
      <c r="T45" s="322">
        <f t="shared" si="1"/>
        <v>0</v>
      </c>
      <c r="U45" s="322"/>
      <c r="V45" s="322"/>
      <c r="W45" s="322"/>
      <c r="X45" s="322"/>
      <c r="Y45" s="129"/>
      <c r="Z45" s="129"/>
      <c r="AA45" s="129"/>
      <c r="AB45" s="129"/>
    </row>
    <row r="46" spans="1:28" ht="24.75" customHeight="1">
      <c r="A46" s="125">
        <v>25</v>
      </c>
      <c r="B46" s="319"/>
      <c r="C46" s="319"/>
      <c r="D46" s="328" t="s">
        <v>755</v>
      </c>
      <c r="E46" s="328"/>
      <c r="F46" s="328"/>
      <c r="G46" s="328"/>
      <c r="H46" s="328"/>
      <c r="I46" s="328"/>
      <c r="J46" s="328"/>
      <c r="K46" s="328"/>
      <c r="L46" s="328"/>
      <c r="M46" s="328"/>
      <c r="N46" s="320">
        <v>10</v>
      </c>
      <c r="O46" s="320"/>
      <c r="P46" s="110" t="s">
        <v>243</v>
      </c>
      <c r="Q46" s="321">
        <v>0</v>
      </c>
      <c r="R46" s="321"/>
      <c r="S46" s="321"/>
      <c r="T46" s="322">
        <f t="shared" si="1"/>
        <v>0</v>
      </c>
      <c r="U46" s="322"/>
      <c r="V46" s="322"/>
      <c r="W46" s="322"/>
      <c r="X46" s="322"/>
      <c r="Y46" s="129"/>
      <c r="Z46" s="129"/>
      <c r="AA46" s="129"/>
      <c r="AB46" s="129"/>
    </row>
    <row r="47" spans="1:24" ht="46.5" customHeight="1">
      <c r="A47" s="126">
        <v>26</v>
      </c>
      <c r="B47" s="130"/>
      <c r="C47" s="131"/>
      <c r="D47" s="331" t="s">
        <v>756</v>
      </c>
      <c r="E47" s="331"/>
      <c r="F47" s="331"/>
      <c r="G47" s="331"/>
      <c r="H47" s="331"/>
      <c r="I47" s="331"/>
      <c r="J47" s="331"/>
      <c r="K47" s="331"/>
      <c r="L47" s="331"/>
      <c r="M47" s="331"/>
      <c r="N47" s="292">
        <v>2</v>
      </c>
      <c r="O47" s="292"/>
      <c r="P47" s="110" t="s">
        <v>616</v>
      </c>
      <c r="Q47" s="321">
        <v>0</v>
      </c>
      <c r="R47" s="321"/>
      <c r="S47" s="321"/>
      <c r="T47" s="322">
        <f t="shared" si="1"/>
        <v>0</v>
      </c>
      <c r="U47" s="322"/>
      <c r="V47" s="322"/>
      <c r="W47" s="322"/>
      <c r="X47" s="322"/>
    </row>
    <row r="48" spans="1:24" ht="46.5" customHeight="1">
      <c r="A48" s="125">
        <v>27</v>
      </c>
      <c r="B48" s="319"/>
      <c r="C48" s="319"/>
      <c r="D48" s="330" t="s">
        <v>757</v>
      </c>
      <c r="E48" s="330"/>
      <c r="F48" s="330"/>
      <c r="G48" s="330"/>
      <c r="H48" s="330"/>
      <c r="I48" s="330"/>
      <c r="J48" s="330"/>
      <c r="K48" s="330"/>
      <c r="L48" s="330"/>
      <c r="M48" s="330"/>
      <c r="N48" s="320">
        <v>24</v>
      </c>
      <c r="O48" s="320"/>
      <c r="P48" s="110" t="s">
        <v>243</v>
      </c>
      <c r="Q48" s="321">
        <v>0</v>
      </c>
      <c r="R48" s="321"/>
      <c r="S48" s="321"/>
      <c r="T48" s="322">
        <f t="shared" si="1"/>
        <v>0</v>
      </c>
      <c r="U48" s="322"/>
      <c r="V48" s="322"/>
      <c r="W48" s="322"/>
      <c r="X48" s="322"/>
    </row>
    <row r="49" spans="1:24" ht="46.5" customHeight="1">
      <c r="A49" s="126">
        <v>28</v>
      </c>
      <c r="B49" s="319"/>
      <c r="C49" s="319"/>
      <c r="D49" s="328" t="s">
        <v>758</v>
      </c>
      <c r="E49" s="328"/>
      <c r="F49" s="328"/>
      <c r="G49" s="328"/>
      <c r="H49" s="328"/>
      <c r="I49" s="328"/>
      <c r="J49" s="328"/>
      <c r="K49" s="328"/>
      <c r="L49" s="328"/>
      <c r="M49" s="328"/>
      <c r="N49" s="320">
        <v>24</v>
      </c>
      <c r="O49" s="320"/>
      <c r="P49" s="110" t="s">
        <v>243</v>
      </c>
      <c r="Q49" s="321">
        <v>0</v>
      </c>
      <c r="R49" s="321"/>
      <c r="S49" s="321"/>
      <c r="T49" s="322">
        <f t="shared" si="1"/>
        <v>0</v>
      </c>
      <c r="U49" s="322"/>
      <c r="V49" s="322"/>
      <c r="W49" s="322"/>
      <c r="X49" s="322"/>
    </row>
    <row r="50" spans="1:24" ht="46.5" customHeight="1">
      <c r="A50" s="125">
        <v>29</v>
      </c>
      <c r="B50" s="130"/>
      <c r="C50" s="131"/>
      <c r="D50" s="331" t="s">
        <v>759</v>
      </c>
      <c r="E50" s="331"/>
      <c r="F50" s="331"/>
      <c r="G50" s="331"/>
      <c r="H50" s="331"/>
      <c r="I50" s="331"/>
      <c r="J50" s="331"/>
      <c r="K50" s="331"/>
      <c r="L50" s="331"/>
      <c r="M50" s="331"/>
      <c r="N50" s="292">
        <v>6</v>
      </c>
      <c r="O50" s="292"/>
      <c r="P50" s="110" t="s">
        <v>616</v>
      </c>
      <c r="Q50" s="321">
        <v>0</v>
      </c>
      <c r="R50" s="321"/>
      <c r="S50" s="321"/>
      <c r="T50" s="322">
        <f t="shared" si="1"/>
        <v>0</v>
      </c>
      <c r="U50" s="322"/>
      <c r="V50" s="322"/>
      <c r="W50" s="322"/>
      <c r="X50" s="322"/>
    </row>
    <row r="51" spans="1:24" ht="101.25" customHeight="1">
      <c r="A51" s="126">
        <v>30</v>
      </c>
      <c r="B51" s="130"/>
      <c r="C51" s="131"/>
      <c r="D51" s="331" t="s">
        <v>760</v>
      </c>
      <c r="E51" s="331"/>
      <c r="F51" s="331"/>
      <c r="G51" s="331"/>
      <c r="H51" s="331"/>
      <c r="I51" s="331"/>
      <c r="J51" s="331"/>
      <c r="K51" s="331"/>
      <c r="L51" s="331"/>
      <c r="M51" s="331"/>
      <c r="N51" s="292">
        <v>2</v>
      </c>
      <c r="O51" s="292"/>
      <c r="P51" s="110" t="s">
        <v>616</v>
      </c>
      <c r="Q51" s="321">
        <v>0</v>
      </c>
      <c r="R51" s="321"/>
      <c r="S51" s="321"/>
      <c r="T51" s="322">
        <f t="shared" si="1"/>
        <v>0</v>
      </c>
      <c r="U51" s="322"/>
      <c r="V51" s="322"/>
      <c r="W51" s="322"/>
      <c r="X51" s="322"/>
    </row>
    <row r="52" spans="1:24" ht="117.75" customHeight="1">
      <c r="A52" s="125">
        <v>31</v>
      </c>
      <c r="B52" s="130"/>
      <c r="C52" s="131"/>
      <c r="D52" s="332" t="s">
        <v>761</v>
      </c>
      <c r="E52" s="332"/>
      <c r="F52" s="332"/>
      <c r="G52" s="332"/>
      <c r="H52" s="332"/>
      <c r="I52" s="332"/>
      <c r="J52" s="332"/>
      <c r="K52" s="332"/>
      <c r="L52" s="332"/>
      <c r="M52" s="332"/>
      <c r="N52" s="292">
        <v>2</v>
      </c>
      <c r="O52" s="292"/>
      <c r="P52" s="110" t="s">
        <v>616</v>
      </c>
      <c r="Q52" s="321">
        <v>0</v>
      </c>
      <c r="R52" s="321"/>
      <c r="S52" s="321"/>
      <c r="T52" s="322">
        <f t="shared" si="1"/>
        <v>0</v>
      </c>
      <c r="U52" s="322"/>
      <c r="V52" s="322"/>
      <c r="W52" s="322"/>
      <c r="X52" s="322"/>
    </row>
    <row r="53" spans="1:24" ht="58.5" customHeight="1">
      <c r="A53" s="126">
        <v>32</v>
      </c>
      <c r="B53" s="130"/>
      <c r="C53" s="131"/>
      <c r="D53" s="332" t="s">
        <v>762</v>
      </c>
      <c r="E53" s="332"/>
      <c r="F53" s="332"/>
      <c r="G53" s="332"/>
      <c r="H53" s="332"/>
      <c r="I53" s="332"/>
      <c r="J53" s="332"/>
      <c r="K53" s="332"/>
      <c r="L53" s="332"/>
      <c r="M53" s="332"/>
      <c r="N53" s="292">
        <v>2</v>
      </c>
      <c r="O53" s="292"/>
      <c r="P53" s="110" t="s">
        <v>616</v>
      </c>
      <c r="Q53" s="321">
        <v>0</v>
      </c>
      <c r="R53" s="321"/>
      <c r="S53" s="321"/>
      <c r="T53" s="322">
        <f t="shared" si="1"/>
        <v>0</v>
      </c>
      <c r="U53" s="322"/>
      <c r="V53" s="322"/>
      <c r="W53" s="322"/>
      <c r="X53" s="322"/>
    </row>
    <row r="54" spans="1:24" ht="63.75" customHeight="1">
      <c r="A54" s="126">
        <v>33</v>
      </c>
      <c r="B54" s="319"/>
      <c r="C54" s="319"/>
      <c r="D54" s="324" t="s">
        <v>763</v>
      </c>
      <c r="E54" s="324"/>
      <c r="F54" s="324"/>
      <c r="G54" s="324"/>
      <c r="H54" s="324"/>
      <c r="I54" s="324"/>
      <c r="J54" s="324"/>
      <c r="K54" s="324"/>
      <c r="L54" s="324"/>
      <c r="M54" s="324"/>
      <c r="N54" s="320">
        <v>2425</v>
      </c>
      <c r="O54" s="320"/>
      <c r="P54" s="110" t="s">
        <v>625</v>
      </c>
      <c r="Q54" s="321">
        <v>0</v>
      </c>
      <c r="R54" s="321"/>
      <c r="S54" s="321"/>
      <c r="T54" s="322">
        <f t="shared" si="1"/>
        <v>0</v>
      </c>
      <c r="U54" s="322"/>
      <c r="V54" s="322"/>
      <c r="W54" s="322"/>
      <c r="X54" s="322"/>
    </row>
    <row r="55" spans="1:28" ht="18.75" customHeight="1">
      <c r="A55" s="113"/>
      <c r="B55" s="114"/>
      <c r="C55" s="114"/>
      <c r="D55" s="114"/>
      <c r="E55" s="114"/>
      <c r="F55" s="114"/>
      <c r="G55" s="114"/>
      <c r="H55" s="114"/>
      <c r="I55" s="114"/>
      <c r="J55" s="114"/>
      <c r="K55" s="113"/>
      <c r="L55" s="115"/>
      <c r="M55" s="302" t="s">
        <v>764</v>
      </c>
      <c r="N55" s="302"/>
      <c r="O55" s="302"/>
      <c r="P55" s="302"/>
      <c r="Q55" s="302"/>
      <c r="R55" s="302"/>
      <c r="S55" s="302"/>
      <c r="T55" s="333">
        <f>SUM(T31:X54)</f>
        <v>0</v>
      </c>
      <c r="U55" s="333"/>
      <c r="V55" s="333"/>
      <c r="W55" s="333"/>
      <c r="X55" s="333"/>
      <c r="Y55" s="116"/>
      <c r="Z55" s="116"/>
      <c r="AA55" s="116"/>
      <c r="AB55" s="116"/>
    </row>
    <row r="56" spans="2:28" ht="18.75" customHeight="1">
      <c r="B56" s="117"/>
      <c r="C56" s="117"/>
      <c r="D56" s="117"/>
      <c r="E56" s="117"/>
      <c r="F56" s="117"/>
      <c r="G56" s="117"/>
      <c r="H56" s="117"/>
      <c r="I56" s="117"/>
      <c r="J56" s="117"/>
      <c r="L56" s="104"/>
      <c r="M56" s="121"/>
      <c r="N56" s="121"/>
      <c r="O56" s="121"/>
      <c r="P56" s="121"/>
      <c r="Q56" s="121"/>
      <c r="R56" s="121"/>
      <c r="S56" s="121"/>
      <c r="T56" s="122"/>
      <c r="U56" s="122"/>
      <c r="V56" s="122"/>
      <c r="W56" s="122"/>
      <c r="X56" s="122"/>
      <c r="Y56" s="116"/>
      <c r="Z56" s="116"/>
      <c r="AA56" s="116"/>
      <c r="AB56" s="116"/>
    </row>
    <row r="57" spans="1:24" ht="18.75" customHeight="1">
      <c r="A57" s="281" t="s">
        <v>765</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row>
    <row r="58" spans="1:24" ht="19.5" customHeight="1">
      <c r="A58" s="123" t="s">
        <v>715</v>
      </c>
      <c r="B58" s="313" t="s">
        <v>766</v>
      </c>
      <c r="C58" s="313"/>
      <c r="D58" s="313" t="s">
        <v>716</v>
      </c>
      <c r="E58" s="313"/>
      <c r="F58" s="313"/>
      <c r="G58" s="313"/>
      <c r="H58" s="313"/>
      <c r="I58" s="313"/>
      <c r="J58" s="313"/>
      <c r="K58" s="313"/>
      <c r="L58" s="313"/>
      <c r="M58" s="313"/>
      <c r="N58" s="314" t="s">
        <v>717</v>
      </c>
      <c r="O58" s="314"/>
      <c r="P58" s="314"/>
      <c r="Q58" s="314" t="s">
        <v>738</v>
      </c>
      <c r="R58" s="314"/>
      <c r="S58" s="314"/>
      <c r="T58" s="283" t="s">
        <v>739</v>
      </c>
      <c r="U58" s="283"/>
      <c r="V58" s="283"/>
      <c r="W58" s="283"/>
      <c r="X58" s="283"/>
    </row>
    <row r="59" spans="1:24" ht="45.75" customHeight="1">
      <c r="A59" s="132">
        <v>34</v>
      </c>
      <c r="B59" s="334"/>
      <c r="C59" s="334"/>
      <c r="D59" s="286" t="s">
        <v>767</v>
      </c>
      <c r="E59" s="286"/>
      <c r="F59" s="286"/>
      <c r="G59" s="286"/>
      <c r="H59" s="286"/>
      <c r="I59" s="286"/>
      <c r="J59" s="286"/>
      <c r="K59" s="286"/>
      <c r="L59" s="286"/>
      <c r="M59" s="286"/>
      <c r="N59" s="287">
        <v>1</v>
      </c>
      <c r="O59" s="287"/>
      <c r="P59" s="108" t="s">
        <v>721</v>
      </c>
      <c r="Q59" s="335">
        <v>0</v>
      </c>
      <c r="R59" s="335"/>
      <c r="S59" s="335"/>
      <c r="T59" s="318">
        <f aca="true" t="shared" si="2" ref="T59:T69">Q59*N59</f>
        <v>0</v>
      </c>
      <c r="U59" s="318"/>
      <c r="V59" s="318"/>
      <c r="W59" s="318"/>
      <c r="X59" s="318"/>
    </row>
    <row r="60" spans="1:24" ht="27.75" customHeight="1">
      <c r="A60" s="125">
        <v>35</v>
      </c>
      <c r="B60" s="336"/>
      <c r="C60" s="336"/>
      <c r="D60" s="337" t="s">
        <v>768</v>
      </c>
      <c r="E60" s="337"/>
      <c r="F60" s="337"/>
      <c r="G60" s="337"/>
      <c r="H60" s="337"/>
      <c r="I60" s="337"/>
      <c r="J60" s="337"/>
      <c r="K60" s="337"/>
      <c r="L60" s="337"/>
      <c r="M60" s="337"/>
      <c r="N60" s="292">
        <v>2</v>
      </c>
      <c r="O60" s="292"/>
      <c r="P60" s="110" t="s">
        <v>616</v>
      </c>
      <c r="Q60" s="325">
        <v>0</v>
      </c>
      <c r="R60" s="325"/>
      <c r="S60" s="325"/>
      <c r="T60" s="338">
        <f t="shared" si="2"/>
        <v>0</v>
      </c>
      <c r="U60" s="338"/>
      <c r="V60" s="338"/>
      <c r="W60" s="338"/>
      <c r="X60" s="338"/>
    </row>
    <row r="61" spans="1:24" ht="27.75" customHeight="1">
      <c r="A61" s="125">
        <v>36</v>
      </c>
      <c r="B61" s="336"/>
      <c r="C61" s="336"/>
      <c r="D61" s="291" t="s">
        <v>769</v>
      </c>
      <c r="E61" s="291"/>
      <c r="F61" s="291"/>
      <c r="G61" s="291"/>
      <c r="H61" s="291"/>
      <c r="I61" s="291"/>
      <c r="J61" s="291"/>
      <c r="K61" s="291"/>
      <c r="L61" s="291"/>
      <c r="M61" s="291"/>
      <c r="N61" s="292">
        <v>1</v>
      </c>
      <c r="O61" s="292"/>
      <c r="P61" s="110" t="s">
        <v>721</v>
      </c>
      <c r="Q61" s="325">
        <v>0</v>
      </c>
      <c r="R61" s="325"/>
      <c r="S61" s="325"/>
      <c r="T61" s="338">
        <f t="shared" si="2"/>
        <v>0</v>
      </c>
      <c r="U61" s="338"/>
      <c r="V61" s="338"/>
      <c r="W61" s="338"/>
      <c r="X61" s="338"/>
    </row>
    <row r="62" spans="1:24" ht="30" customHeight="1">
      <c r="A62" s="125">
        <v>37</v>
      </c>
      <c r="B62" s="336"/>
      <c r="C62" s="336"/>
      <c r="D62" s="291" t="s">
        <v>770</v>
      </c>
      <c r="E62" s="291"/>
      <c r="F62" s="291"/>
      <c r="G62" s="291"/>
      <c r="H62" s="291"/>
      <c r="I62" s="291"/>
      <c r="J62" s="291"/>
      <c r="K62" s="291"/>
      <c r="L62" s="291"/>
      <c r="M62" s="291"/>
      <c r="N62" s="292">
        <v>36</v>
      </c>
      <c r="O62" s="292"/>
      <c r="P62" s="110" t="s">
        <v>243</v>
      </c>
      <c r="Q62" s="325">
        <v>0</v>
      </c>
      <c r="R62" s="325"/>
      <c r="S62" s="325"/>
      <c r="T62" s="338">
        <f t="shared" si="2"/>
        <v>0</v>
      </c>
      <c r="U62" s="338"/>
      <c r="V62" s="338"/>
      <c r="W62" s="338"/>
      <c r="X62" s="338"/>
    </row>
    <row r="63" spans="1:24" ht="30" customHeight="1">
      <c r="A63" s="125">
        <v>38</v>
      </c>
      <c r="B63" s="336"/>
      <c r="C63" s="336"/>
      <c r="D63" s="339" t="s">
        <v>771</v>
      </c>
      <c r="E63" s="339"/>
      <c r="F63" s="339"/>
      <c r="G63" s="339"/>
      <c r="H63" s="339"/>
      <c r="I63" s="339"/>
      <c r="J63" s="339"/>
      <c r="K63" s="339"/>
      <c r="L63" s="339"/>
      <c r="M63" s="339"/>
      <c r="N63" s="292">
        <v>194</v>
      </c>
      <c r="O63" s="292"/>
      <c r="P63" s="110" t="s">
        <v>166</v>
      </c>
      <c r="Q63" s="325">
        <v>0</v>
      </c>
      <c r="R63" s="325"/>
      <c r="S63" s="325"/>
      <c r="T63" s="338">
        <f t="shared" si="2"/>
        <v>0</v>
      </c>
      <c r="U63" s="338"/>
      <c r="V63" s="338"/>
      <c r="W63" s="338"/>
      <c r="X63" s="338"/>
    </row>
    <row r="64" spans="1:24" ht="30" customHeight="1">
      <c r="A64" s="125">
        <v>39</v>
      </c>
      <c r="B64" s="336"/>
      <c r="C64" s="336"/>
      <c r="D64" s="295" t="s">
        <v>772</v>
      </c>
      <c r="E64" s="295"/>
      <c r="F64" s="295"/>
      <c r="G64" s="295"/>
      <c r="H64" s="295"/>
      <c r="I64" s="295"/>
      <c r="J64" s="295"/>
      <c r="K64" s="295"/>
      <c r="L64" s="295"/>
      <c r="M64" s="295"/>
      <c r="N64" s="292">
        <v>194</v>
      </c>
      <c r="O64" s="292"/>
      <c r="P64" s="110" t="s">
        <v>166</v>
      </c>
      <c r="Q64" s="325">
        <v>0</v>
      </c>
      <c r="R64" s="325"/>
      <c r="S64" s="325"/>
      <c r="T64" s="338">
        <f t="shared" si="2"/>
        <v>0</v>
      </c>
      <c r="U64" s="338"/>
      <c r="V64" s="338"/>
      <c r="W64" s="338"/>
      <c r="X64" s="338"/>
    </row>
    <row r="65" spans="1:24" ht="30" customHeight="1">
      <c r="A65" s="125">
        <v>40</v>
      </c>
      <c r="B65" s="336"/>
      <c r="C65" s="336"/>
      <c r="D65" s="295" t="s">
        <v>773</v>
      </c>
      <c r="E65" s="295"/>
      <c r="F65" s="295"/>
      <c r="G65" s="295"/>
      <c r="H65" s="295"/>
      <c r="I65" s="295"/>
      <c r="J65" s="295"/>
      <c r="K65" s="295"/>
      <c r="L65" s="295"/>
      <c r="M65" s="295"/>
      <c r="N65" s="292">
        <v>191.5</v>
      </c>
      <c r="O65" s="292"/>
      <c r="P65" s="110" t="s">
        <v>166</v>
      </c>
      <c r="Q65" s="325">
        <v>0</v>
      </c>
      <c r="R65" s="325"/>
      <c r="S65" s="325"/>
      <c r="T65" s="338">
        <f t="shared" si="2"/>
        <v>0</v>
      </c>
      <c r="U65" s="338"/>
      <c r="V65" s="338"/>
      <c r="W65" s="338"/>
      <c r="X65" s="338"/>
    </row>
    <row r="66" spans="1:24" ht="30" customHeight="1">
      <c r="A66" s="125">
        <v>41</v>
      </c>
      <c r="B66" s="336"/>
      <c r="C66" s="336"/>
      <c r="D66" s="295" t="s">
        <v>774</v>
      </c>
      <c r="E66" s="295"/>
      <c r="F66" s="295"/>
      <c r="G66" s="295"/>
      <c r="H66" s="295"/>
      <c r="I66" s="295"/>
      <c r="J66" s="295"/>
      <c r="K66" s="295"/>
      <c r="L66" s="295"/>
      <c r="M66" s="295"/>
      <c r="N66" s="292">
        <v>4</v>
      </c>
      <c r="O66" s="292"/>
      <c r="P66" s="110" t="s">
        <v>323</v>
      </c>
      <c r="Q66" s="325">
        <v>0</v>
      </c>
      <c r="R66" s="325"/>
      <c r="S66" s="325"/>
      <c r="T66" s="338">
        <f t="shared" si="2"/>
        <v>0</v>
      </c>
      <c r="U66" s="338"/>
      <c r="V66" s="338"/>
      <c r="W66" s="338"/>
      <c r="X66" s="338"/>
    </row>
    <row r="67" spans="1:24" ht="30" customHeight="1">
      <c r="A67" s="125">
        <v>42</v>
      </c>
      <c r="B67" s="336"/>
      <c r="C67" s="336"/>
      <c r="D67" s="340" t="s">
        <v>775</v>
      </c>
      <c r="E67" s="340"/>
      <c r="F67" s="340"/>
      <c r="G67" s="340"/>
      <c r="H67" s="340"/>
      <c r="I67" s="340"/>
      <c r="J67" s="340"/>
      <c r="K67" s="340"/>
      <c r="L67" s="340"/>
      <c r="M67" s="340"/>
      <c r="N67" s="292">
        <v>2.5</v>
      </c>
      <c r="O67" s="292"/>
      <c r="P67" s="110" t="s">
        <v>166</v>
      </c>
      <c r="Q67" s="325">
        <v>0</v>
      </c>
      <c r="R67" s="325"/>
      <c r="S67" s="325"/>
      <c r="T67" s="338">
        <f t="shared" si="2"/>
        <v>0</v>
      </c>
      <c r="U67" s="338"/>
      <c r="V67" s="338"/>
      <c r="W67" s="338"/>
      <c r="X67" s="338"/>
    </row>
    <row r="68" spans="1:24" ht="45" customHeight="1">
      <c r="A68" s="125">
        <v>43</v>
      </c>
      <c r="B68" s="336"/>
      <c r="C68" s="336"/>
      <c r="D68" s="295" t="s">
        <v>776</v>
      </c>
      <c r="E68" s="295"/>
      <c r="F68" s="295"/>
      <c r="G68" s="295"/>
      <c r="H68" s="295"/>
      <c r="I68" s="295"/>
      <c r="J68" s="295"/>
      <c r="K68" s="295"/>
      <c r="L68" s="295"/>
      <c r="M68" s="295"/>
      <c r="N68" s="292">
        <v>1</v>
      </c>
      <c r="O68" s="292"/>
      <c r="P68" s="110" t="s">
        <v>721</v>
      </c>
      <c r="Q68" s="325">
        <v>0</v>
      </c>
      <c r="R68" s="325"/>
      <c r="S68" s="325"/>
      <c r="T68" s="338">
        <f t="shared" si="2"/>
        <v>0</v>
      </c>
      <c r="U68" s="338"/>
      <c r="V68" s="338"/>
      <c r="W68" s="338"/>
      <c r="X68" s="338"/>
    </row>
    <row r="69" spans="1:24" ht="30" customHeight="1">
      <c r="A69" s="133">
        <v>44</v>
      </c>
      <c r="B69" s="336"/>
      <c r="C69" s="336"/>
      <c r="D69" s="291" t="s">
        <v>777</v>
      </c>
      <c r="E69" s="291"/>
      <c r="F69" s="291"/>
      <c r="G69" s="291"/>
      <c r="H69" s="291"/>
      <c r="I69" s="291"/>
      <c r="J69" s="291"/>
      <c r="K69" s="291"/>
      <c r="L69" s="291"/>
      <c r="M69" s="291"/>
      <c r="N69" s="292">
        <v>1</v>
      </c>
      <c r="O69" s="292"/>
      <c r="P69" s="110" t="s">
        <v>721</v>
      </c>
      <c r="Q69" s="325">
        <v>0</v>
      </c>
      <c r="R69" s="325"/>
      <c r="S69" s="325"/>
      <c r="T69" s="338">
        <f t="shared" si="2"/>
        <v>0</v>
      </c>
      <c r="U69" s="338"/>
      <c r="V69" s="338"/>
      <c r="W69" s="338"/>
      <c r="X69" s="338"/>
    </row>
    <row r="70" spans="1:28" ht="18.75" customHeight="1">
      <c r="A70" s="113"/>
      <c r="B70" s="114"/>
      <c r="C70" s="114"/>
      <c r="D70" s="114"/>
      <c r="E70" s="114"/>
      <c r="F70" s="114"/>
      <c r="G70" s="114"/>
      <c r="H70" s="114"/>
      <c r="I70" s="114"/>
      <c r="J70" s="114"/>
      <c r="K70" s="113"/>
      <c r="L70" s="115"/>
      <c r="M70" s="302" t="s">
        <v>778</v>
      </c>
      <c r="N70" s="302"/>
      <c r="O70" s="302"/>
      <c r="P70" s="302"/>
      <c r="Q70" s="302"/>
      <c r="R70" s="302"/>
      <c r="S70" s="302"/>
      <c r="T70" s="341">
        <f>T69+T62+T61+T60+T59+T63+T64+T65+T66+T67+T68</f>
        <v>0</v>
      </c>
      <c r="U70" s="341"/>
      <c r="V70" s="341"/>
      <c r="W70" s="341"/>
      <c r="X70" s="341"/>
      <c r="Y70" s="116"/>
      <c r="Z70" s="116"/>
      <c r="AA70" s="116"/>
      <c r="AB70" s="116"/>
    </row>
    <row r="71" spans="25:28" ht="15" customHeight="1">
      <c r="Y71" s="116"/>
      <c r="Z71" s="116"/>
      <c r="AA71" s="116"/>
      <c r="AB71" s="116"/>
    </row>
    <row r="72" spans="1:24" ht="18.75" customHeight="1">
      <c r="A72" s="342" t="s">
        <v>779</v>
      </c>
      <c r="B72" s="342"/>
      <c r="C72" s="342"/>
      <c r="D72" s="342"/>
      <c r="E72" s="342"/>
      <c r="F72" s="342"/>
      <c r="G72" s="342"/>
      <c r="H72" s="342"/>
      <c r="I72" s="342"/>
      <c r="J72" s="342"/>
      <c r="K72" s="342"/>
      <c r="L72" s="342"/>
      <c r="M72" s="342"/>
      <c r="N72" s="342"/>
      <c r="O72" s="342"/>
      <c r="P72" s="342"/>
      <c r="Q72" s="342"/>
      <c r="R72" s="342"/>
      <c r="S72" s="342"/>
      <c r="T72" s="342"/>
      <c r="U72" s="342"/>
      <c r="V72" s="342"/>
      <c r="W72" s="342"/>
      <c r="X72" s="342"/>
    </row>
    <row r="73" spans="1:24" ht="19.5" customHeight="1">
      <c r="A73" s="134" t="s">
        <v>715</v>
      </c>
      <c r="B73" s="343" t="s">
        <v>766</v>
      </c>
      <c r="C73" s="343"/>
      <c r="D73" s="343" t="s">
        <v>716</v>
      </c>
      <c r="E73" s="343"/>
      <c r="F73" s="343"/>
      <c r="G73" s="343"/>
      <c r="H73" s="343"/>
      <c r="I73" s="343"/>
      <c r="J73" s="343"/>
      <c r="K73" s="343"/>
      <c r="L73" s="343"/>
      <c r="M73" s="343"/>
      <c r="N73" s="344" t="s">
        <v>717</v>
      </c>
      <c r="O73" s="344"/>
      <c r="P73" s="344"/>
      <c r="Q73" s="344" t="s">
        <v>738</v>
      </c>
      <c r="R73" s="344"/>
      <c r="S73" s="344"/>
      <c r="T73" s="345" t="s">
        <v>739</v>
      </c>
      <c r="U73" s="345"/>
      <c r="V73" s="345"/>
      <c r="W73" s="345"/>
      <c r="X73" s="345"/>
    </row>
    <row r="74" spans="1:28" ht="25.5" customHeight="1">
      <c r="A74" s="109">
        <v>45</v>
      </c>
      <c r="B74" s="290"/>
      <c r="C74" s="290"/>
      <c r="D74" s="291" t="s">
        <v>780</v>
      </c>
      <c r="E74" s="291"/>
      <c r="F74" s="291"/>
      <c r="G74" s="291"/>
      <c r="H74" s="291"/>
      <c r="I74" s="291"/>
      <c r="J74" s="291"/>
      <c r="K74" s="291"/>
      <c r="L74" s="291"/>
      <c r="M74" s="291"/>
      <c r="N74" s="292">
        <v>1</v>
      </c>
      <c r="O74" s="292"/>
      <c r="P74" s="110" t="s">
        <v>721</v>
      </c>
      <c r="Q74" s="293"/>
      <c r="R74" s="293"/>
      <c r="S74" s="293"/>
      <c r="T74" s="294"/>
      <c r="U74" s="294"/>
      <c r="V74" s="294"/>
      <c r="W74" s="294"/>
      <c r="X74" s="294"/>
      <c r="Y74" s="135"/>
      <c r="Z74" s="135"/>
      <c r="AA74" s="135"/>
      <c r="AB74" s="135"/>
    </row>
    <row r="75" spans="1:28" ht="18.75" customHeight="1">
      <c r="A75" s="113"/>
      <c r="B75" s="114"/>
      <c r="C75" s="114"/>
      <c r="D75" s="114"/>
      <c r="E75" s="114"/>
      <c r="F75" s="114"/>
      <c r="G75" s="114"/>
      <c r="H75" s="114"/>
      <c r="I75" s="114"/>
      <c r="J75" s="114"/>
      <c r="K75" s="113"/>
      <c r="L75" s="115"/>
      <c r="M75" s="302" t="s">
        <v>781</v>
      </c>
      <c r="N75" s="302"/>
      <c r="O75" s="302"/>
      <c r="P75" s="302"/>
      <c r="Q75" s="302"/>
      <c r="R75" s="302"/>
      <c r="S75" s="302"/>
      <c r="T75" s="333"/>
      <c r="U75" s="333"/>
      <c r="V75" s="333"/>
      <c r="W75" s="333"/>
      <c r="X75" s="333"/>
      <c r="Y75" s="116"/>
      <c r="Z75" s="116"/>
      <c r="AA75" s="116"/>
      <c r="AB75" s="116"/>
    </row>
    <row r="76" spans="25:28" ht="15" customHeight="1">
      <c r="Y76" s="116"/>
      <c r="Z76" s="116"/>
      <c r="AA76" s="116"/>
      <c r="AB76" s="116"/>
    </row>
    <row r="77" spans="1:24" ht="18.75" customHeight="1">
      <c r="A77" s="281" t="s">
        <v>782</v>
      </c>
      <c r="B77" s="281"/>
      <c r="C77" s="281"/>
      <c r="D77" s="281"/>
      <c r="E77" s="281"/>
      <c r="F77" s="281"/>
      <c r="G77" s="281"/>
      <c r="H77" s="281"/>
      <c r="I77" s="281"/>
      <c r="J77" s="281"/>
      <c r="K77" s="281"/>
      <c r="L77" s="281"/>
      <c r="M77" s="281"/>
      <c r="N77" s="281"/>
      <c r="O77" s="281"/>
      <c r="P77" s="281"/>
      <c r="Q77" s="281"/>
      <c r="R77" s="281"/>
      <c r="S77" s="281"/>
      <c r="T77" s="281"/>
      <c r="U77" s="281"/>
      <c r="V77" s="281"/>
      <c r="W77" s="281"/>
      <c r="X77" s="281"/>
    </row>
    <row r="78" spans="1:28" ht="15" customHeight="1">
      <c r="A78" s="346" t="s">
        <v>783</v>
      </c>
      <c r="B78" s="346"/>
      <c r="C78" s="346"/>
      <c r="D78" s="346"/>
      <c r="E78" s="346"/>
      <c r="F78" s="346"/>
      <c r="G78" s="346"/>
      <c r="H78" s="346"/>
      <c r="I78" s="346"/>
      <c r="J78" s="346"/>
      <c r="K78" s="346"/>
      <c r="L78" s="346"/>
      <c r="M78" s="346"/>
      <c r="N78" s="346"/>
      <c r="O78" s="346"/>
      <c r="P78" s="346"/>
      <c r="Q78" s="347">
        <f>T18</f>
        <v>0</v>
      </c>
      <c r="R78" s="347"/>
      <c r="S78" s="347"/>
      <c r="T78" s="347"/>
      <c r="Y78" s="116"/>
      <c r="Z78" s="116"/>
      <c r="AA78" s="116"/>
      <c r="AB78" s="116"/>
    </row>
    <row r="79" spans="1:28" ht="15" customHeight="1">
      <c r="A79" s="348" t="s">
        <v>784</v>
      </c>
      <c r="B79" s="348"/>
      <c r="C79" s="348"/>
      <c r="D79" s="348"/>
      <c r="E79" s="348"/>
      <c r="F79" s="348"/>
      <c r="G79" s="348"/>
      <c r="H79" s="348"/>
      <c r="I79" s="348"/>
      <c r="J79" s="348"/>
      <c r="K79" s="348"/>
      <c r="L79" s="348"/>
      <c r="M79" s="348"/>
      <c r="N79" s="348"/>
      <c r="O79" s="348"/>
      <c r="P79" s="348"/>
      <c r="Q79" s="349">
        <f>T27</f>
        <v>0</v>
      </c>
      <c r="R79" s="349"/>
      <c r="S79" s="349"/>
      <c r="T79" s="349"/>
      <c r="Y79" s="116"/>
      <c r="Z79" s="116"/>
      <c r="AA79" s="116"/>
      <c r="AB79" s="116"/>
    </row>
    <row r="80" spans="1:28" ht="15" customHeight="1">
      <c r="A80" s="348" t="s">
        <v>785</v>
      </c>
      <c r="B80" s="348"/>
      <c r="C80" s="348"/>
      <c r="D80" s="348"/>
      <c r="E80" s="348"/>
      <c r="F80" s="348"/>
      <c r="G80" s="348"/>
      <c r="H80" s="348"/>
      <c r="I80" s="348"/>
      <c r="J80" s="348"/>
      <c r="K80" s="348"/>
      <c r="L80" s="348"/>
      <c r="M80" s="348"/>
      <c r="N80" s="348"/>
      <c r="O80" s="348"/>
      <c r="P80" s="348"/>
      <c r="Q80" s="349">
        <f>T55</f>
        <v>0</v>
      </c>
      <c r="R80" s="349"/>
      <c r="S80" s="349"/>
      <c r="T80" s="349"/>
      <c r="Y80" s="116"/>
      <c r="Z80" s="116"/>
      <c r="AA80" s="116"/>
      <c r="AB80" s="116"/>
    </row>
    <row r="81" spans="1:28" ht="15" customHeight="1">
      <c r="A81" s="348" t="s">
        <v>786</v>
      </c>
      <c r="B81" s="348"/>
      <c r="C81" s="348"/>
      <c r="D81" s="348"/>
      <c r="E81" s="348"/>
      <c r="F81" s="348"/>
      <c r="G81" s="348"/>
      <c r="H81" s="348"/>
      <c r="I81" s="348"/>
      <c r="J81" s="348"/>
      <c r="K81" s="348"/>
      <c r="L81" s="348"/>
      <c r="M81" s="348"/>
      <c r="N81" s="348"/>
      <c r="O81" s="348"/>
      <c r="P81" s="348"/>
      <c r="Q81" s="349">
        <f>T70</f>
        <v>0</v>
      </c>
      <c r="R81" s="349"/>
      <c r="S81" s="349"/>
      <c r="T81" s="349"/>
      <c r="Y81" s="116"/>
      <c r="Z81" s="116"/>
      <c r="AA81" s="116"/>
      <c r="AB81" s="116"/>
    </row>
    <row r="82" spans="1:28" ht="15" customHeight="1">
      <c r="A82" s="350" t="s">
        <v>779</v>
      </c>
      <c r="B82" s="350"/>
      <c r="C82" s="350"/>
      <c r="D82" s="350"/>
      <c r="E82" s="350"/>
      <c r="F82" s="350"/>
      <c r="G82" s="350"/>
      <c r="H82" s="350"/>
      <c r="I82" s="350"/>
      <c r="J82" s="350"/>
      <c r="K82" s="350"/>
      <c r="L82" s="350"/>
      <c r="M82" s="350"/>
      <c r="N82" s="350"/>
      <c r="O82" s="350"/>
      <c r="P82" s="350"/>
      <c r="Q82" s="351">
        <v>0</v>
      </c>
      <c r="R82" s="351"/>
      <c r="S82" s="351"/>
      <c r="T82" s="351"/>
      <c r="Y82" s="116"/>
      <c r="Z82" s="116"/>
      <c r="AA82" s="116"/>
      <c r="AB82" s="116"/>
    </row>
    <row r="83" spans="8:28" ht="15" customHeight="1">
      <c r="H83" s="352" t="s">
        <v>787</v>
      </c>
      <c r="I83" s="352"/>
      <c r="J83" s="352"/>
      <c r="K83" s="352"/>
      <c r="L83" s="352"/>
      <c r="M83" s="352"/>
      <c r="N83" s="352"/>
      <c r="O83" s="352"/>
      <c r="P83" s="352"/>
      <c r="Q83" s="353">
        <f>Q82+Q81+Q80+Q79+Q78</f>
        <v>0</v>
      </c>
      <c r="R83" s="353"/>
      <c r="S83" s="353"/>
      <c r="T83" s="353"/>
      <c r="Y83" s="116"/>
      <c r="Z83" s="116"/>
      <c r="AA83" s="116"/>
      <c r="AB83" s="116"/>
    </row>
    <row r="84" spans="8:28" ht="15" customHeight="1">
      <c r="H84" s="352"/>
      <c r="I84" s="352"/>
      <c r="J84" s="352"/>
      <c r="K84" s="352"/>
      <c r="L84" s="352"/>
      <c r="M84" s="352"/>
      <c r="N84" s="352"/>
      <c r="O84" s="352"/>
      <c r="P84" s="352"/>
      <c r="Q84" s="353"/>
      <c r="R84" s="353"/>
      <c r="S84" s="353"/>
      <c r="T84" s="353"/>
      <c r="Y84" s="116"/>
      <c r="Z84" s="116"/>
      <c r="AA84" s="116"/>
      <c r="AB84" s="116"/>
    </row>
    <row r="85" ht="15" customHeight="1"/>
    <row r="86" spans="1:24" ht="18.75" customHeight="1">
      <c r="A86" s="354" t="s">
        <v>788</v>
      </c>
      <c r="B86" s="354"/>
      <c r="C86" s="354"/>
      <c r="D86" s="354"/>
      <c r="E86" s="354"/>
      <c r="F86" s="354"/>
      <c r="G86" s="354"/>
      <c r="H86" s="354"/>
      <c r="I86" s="354"/>
      <c r="J86" s="354"/>
      <c r="K86" s="354"/>
      <c r="L86" s="354"/>
      <c r="M86" s="354"/>
      <c r="N86" s="354"/>
      <c r="O86" s="354"/>
      <c r="P86" s="354"/>
      <c r="Q86" s="354"/>
      <c r="R86" s="354"/>
      <c r="S86" s="354"/>
      <c r="T86" s="354"/>
      <c r="U86" s="354"/>
      <c r="V86" s="354"/>
      <c r="W86" s="354"/>
      <c r="X86" s="354"/>
    </row>
    <row r="87" spans="1:24" ht="63.75" customHeight="1">
      <c r="A87" s="355" t="s">
        <v>789</v>
      </c>
      <c r="B87" s="355"/>
      <c r="C87" s="355"/>
      <c r="D87" s="355"/>
      <c r="E87" s="355"/>
      <c r="F87" s="355"/>
      <c r="G87" s="355"/>
      <c r="H87" s="355"/>
      <c r="I87" s="355"/>
      <c r="J87" s="355"/>
      <c r="K87" s="355"/>
      <c r="L87" s="355"/>
      <c r="M87" s="355"/>
      <c r="N87" s="355"/>
      <c r="O87" s="355"/>
      <c r="P87" s="355"/>
      <c r="Q87" s="355"/>
      <c r="R87" s="355"/>
      <c r="S87" s="355"/>
      <c r="T87" s="355"/>
      <c r="U87" s="355"/>
      <c r="V87" s="355"/>
      <c r="W87" s="355"/>
      <c r="X87" s="355"/>
    </row>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sheetData>
  <sheetProtection selectLockedCells="1" selectUnlockedCells="1"/>
  <mergeCells count="299">
    <mergeCell ref="A86:X86"/>
    <mergeCell ref="A87:X87"/>
    <mergeCell ref="A81:P81"/>
    <mergeCell ref="Q81:T81"/>
    <mergeCell ref="A82:P82"/>
    <mergeCell ref="Q82:T82"/>
    <mergeCell ref="H83:P84"/>
    <mergeCell ref="Q83:T84"/>
    <mergeCell ref="A77:X77"/>
    <mergeCell ref="A78:P78"/>
    <mergeCell ref="Q78:T78"/>
    <mergeCell ref="A79:P79"/>
    <mergeCell ref="Q79:T79"/>
    <mergeCell ref="A80:P80"/>
    <mergeCell ref="Q80:T80"/>
    <mergeCell ref="B74:C74"/>
    <mergeCell ref="D74:M74"/>
    <mergeCell ref="N74:O74"/>
    <mergeCell ref="Q74:S74"/>
    <mergeCell ref="T74:X74"/>
    <mergeCell ref="M75:S75"/>
    <mergeCell ref="T75:X75"/>
    <mergeCell ref="A72:X72"/>
    <mergeCell ref="B73:C73"/>
    <mergeCell ref="D73:M73"/>
    <mergeCell ref="N73:P73"/>
    <mergeCell ref="Q73:S73"/>
    <mergeCell ref="T73:X73"/>
    <mergeCell ref="B69:C69"/>
    <mergeCell ref="D69:M69"/>
    <mergeCell ref="N69:O69"/>
    <mergeCell ref="Q69:S69"/>
    <mergeCell ref="T69:X69"/>
    <mergeCell ref="M70:S70"/>
    <mergeCell ref="T70:X70"/>
    <mergeCell ref="B67:C67"/>
    <mergeCell ref="D67:M67"/>
    <mergeCell ref="N67:O67"/>
    <mergeCell ref="Q67:S67"/>
    <mergeCell ref="T67:X67"/>
    <mergeCell ref="B68:C68"/>
    <mergeCell ref="D68:M68"/>
    <mergeCell ref="N68:O68"/>
    <mergeCell ref="Q68:S68"/>
    <mergeCell ref="T68:X68"/>
    <mergeCell ref="B65:C65"/>
    <mergeCell ref="D65:M65"/>
    <mergeCell ref="N65:O65"/>
    <mergeCell ref="Q65:S65"/>
    <mergeCell ref="T65:X65"/>
    <mergeCell ref="B66:C66"/>
    <mergeCell ref="D66:M66"/>
    <mergeCell ref="N66:O66"/>
    <mergeCell ref="Q66:S66"/>
    <mergeCell ref="T66:X66"/>
    <mergeCell ref="B63:C63"/>
    <mergeCell ref="D63:M63"/>
    <mergeCell ref="N63:O63"/>
    <mergeCell ref="Q63:S63"/>
    <mergeCell ref="T63:X63"/>
    <mergeCell ref="B64:C64"/>
    <mergeCell ref="D64:M64"/>
    <mergeCell ref="N64:O64"/>
    <mergeCell ref="Q64:S64"/>
    <mergeCell ref="T64:X64"/>
    <mergeCell ref="B61:C61"/>
    <mergeCell ref="D61:M61"/>
    <mergeCell ref="N61:O61"/>
    <mergeCell ref="Q61:S61"/>
    <mergeCell ref="T61:X61"/>
    <mergeCell ref="B62:C62"/>
    <mergeCell ref="D62:M62"/>
    <mergeCell ref="N62:O62"/>
    <mergeCell ref="Q62:S62"/>
    <mergeCell ref="T62:X62"/>
    <mergeCell ref="B59:C59"/>
    <mergeCell ref="D59:M59"/>
    <mergeCell ref="N59:O59"/>
    <mergeCell ref="Q59:S59"/>
    <mergeCell ref="T59:X59"/>
    <mergeCell ref="B60:C60"/>
    <mergeCell ref="D60:M60"/>
    <mergeCell ref="N60:O60"/>
    <mergeCell ref="Q60:S60"/>
    <mergeCell ref="T60:X60"/>
    <mergeCell ref="M55:S55"/>
    <mergeCell ref="T55:X55"/>
    <mergeCell ref="A57:X57"/>
    <mergeCell ref="B58:C58"/>
    <mergeCell ref="D58:M58"/>
    <mergeCell ref="N58:P58"/>
    <mergeCell ref="Q58:S58"/>
    <mergeCell ref="T58:X58"/>
    <mergeCell ref="D53:M53"/>
    <mergeCell ref="N53:O53"/>
    <mergeCell ref="Q53:S53"/>
    <mergeCell ref="T53:X53"/>
    <mergeCell ref="B54:C54"/>
    <mergeCell ref="D54:M54"/>
    <mergeCell ref="N54:O54"/>
    <mergeCell ref="Q54:S54"/>
    <mergeCell ref="T54:X54"/>
    <mergeCell ref="D51:M51"/>
    <mergeCell ref="N51:O51"/>
    <mergeCell ref="Q51:S51"/>
    <mergeCell ref="T51:X51"/>
    <mergeCell ref="D52:M52"/>
    <mergeCell ref="N52:O52"/>
    <mergeCell ref="Q52:S52"/>
    <mergeCell ref="T52:X52"/>
    <mergeCell ref="B49:C49"/>
    <mergeCell ref="D49:M49"/>
    <mergeCell ref="N49:O49"/>
    <mergeCell ref="Q49:S49"/>
    <mergeCell ref="T49:X49"/>
    <mergeCell ref="D50:M50"/>
    <mergeCell ref="N50:O50"/>
    <mergeCell ref="Q50:S50"/>
    <mergeCell ref="T50:X50"/>
    <mergeCell ref="D47:M47"/>
    <mergeCell ref="N47:O47"/>
    <mergeCell ref="Q47:S47"/>
    <mergeCell ref="T47:X47"/>
    <mergeCell ref="B48:C48"/>
    <mergeCell ref="D48:M48"/>
    <mergeCell ref="N48:O48"/>
    <mergeCell ref="Q48:S48"/>
    <mergeCell ref="T48:X48"/>
    <mergeCell ref="B45:C45"/>
    <mergeCell ref="D45:M45"/>
    <mergeCell ref="N45:O45"/>
    <mergeCell ref="Q45:S45"/>
    <mergeCell ref="T45:X45"/>
    <mergeCell ref="B46:C46"/>
    <mergeCell ref="D46:M46"/>
    <mergeCell ref="N46:O46"/>
    <mergeCell ref="Q46:S46"/>
    <mergeCell ref="T46:X46"/>
    <mergeCell ref="B43:C43"/>
    <mergeCell ref="D43:M43"/>
    <mergeCell ref="N43:O43"/>
    <mergeCell ref="Q43:S43"/>
    <mergeCell ref="T43:X43"/>
    <mergeCell ref="B44:C44"/>
    <mergeCell ref="D44:M44"/>
    <mergeCell ref="N44:O44"/>
    <mergeCell ref="Q44:S44"/>
    <mergeCell ref="T44:X44"/>
    <mergeCell ref="B41:C41"/>
    <mergeCell ref="D41:M41"/>
    <mergeCell ref="N41:O41"/>
    <mergeCell ref="Q41:S41"/>
    <mergeCell ref="T41:X41"/>
    <mergeCell ref="B42:C42"/>
    <mergeCell ref="D42:M42"/>
    <mergeCell ref="N42:O42"/>
    <mergeCell ref="Q42:S42"/>
    <mergeCell ref="T42:X42"/>
    <mergeCell ref="B39:C39"/>
    <mergeCell ref="D39:M39"/>
    <mergeCell ref="N39:O39"/>
    <mergeCell ref="Q39:S39"/>
    <mergeCell ref="T39:X39"/>
    <mergeCell ref="B40:C40"/>
    <mergeCell ref="D40:M40"/>
    <mergeCell ref="N40:O40"/>
    <mergeCell ref="Q40:S40"/>
    <mergeCell ref="T40:X40"/>
    <mergeCell ref="B37:C37"/>
    <mergeCell ref="D37:M37"/>
    <mergeCell ref="N37:O37"/>
    <mergeCell ref="Q37:S37"/>
    <mergeCell ref="T37:X37"/>
    <mergeCell ref="B38:C38"/>
    <mergeCell ref="D38:M38"/>
    <mergeCell ref="N38:O38"/>
    <mergeCell ref="Q38:S38"/>
    <mergeCell ref="T38:X38"/>
    <mergeCell ref="B35:C35"/>
    <mergeCell ref="D35:M35"/>
    <mergeCell ref="N35:O35"/>
    <mergeCell ref="Q35:S35"/>
    <mergeCell ref="T35:X35"/>
    <mergeCell ref="B36:C36"/>
    <mergeCell ref="D36:M36"/>
    <mergeCell ref="N36:O36"/>
    <mergeCell ref="Q36:S36"/>
    <mergeCell ref="T36:X36"/>
    <mergeCell ref="B33:C33"/>
    <mergeCell ref="D33:M33"/>
    <mergeCell ref="N33:O33"/>
    <mergeCell ref="Q33:S33"/>
    <mergeCell ref="T33:X33"/>
    <mergeCell ref="B34:C34"/>
    <mergeCell ref="D34:M34"/>
    <mergeCell ref="N34:O34"/>
    <mergeCell ref="Q34:S34"/>
    <mergeCell ref="T34:X34"/>
    <mergeCell ref="B31:C31"/>
    <mergeCell ref="D31:M31"/>
    <mergeCell ref="N31:O31"/>
    <mergeCell ref="Q31:S31"/>
    <mergeCell ref="T31:X31"/>
    <mergeCell ref="B32:C32"/>
    <mergeCell ref="D32:M32"/>
    <mergeCell ref="N32:O32"/>
    <mergeCell ref="Q32:S32"/>
    <mergeCell ref="T32:X32"/>
    <mergeCell ref="M27:S27"/>
    <mergeCell ref="T27:X27"/>
    <mergeCell ref="A29:X29"/>
    <mergeCell ref="B30:C30"/>
    <mergeCell ref="D30:M30"/>
    <mergeCell ref="N30:P30"/>
    <mergeCell ref="Q30:S30"/>
    <mergeCell ref="T30:X30"/>
    <mergeCell ref="D24:M24"/>
    <mergeCell ref="N24:O24"/>
    <mergeCell ref="B25:C25"/>
    <mergeCell ref="D25:M25"/>
    <mergeCell ref="N25:O25"/>
    <mergeCell ref="B26:C26"/>
    <mergeCell ref="D26:M26"/>
    <mergeCell ref="N26:O26"/>
    <mergeCell ref="A22:A26"/>
    <mergeCell ref="B22:C22"/>
    <mergeCell ref="D22:M22"/>
    <mergeCell ref="N22:O22"/>
    <mergeCell ref="Q22:S26"/>
    <mergeCell ref="T22:X26"/>
    <mergeCell ref="B23:C23"/>
    <mergeCell ref="D23:M23"/>
    <mergeCell ref="N23:O23"/>
    <mergeCell ref="B24:C24"/>
    <mergeCell ref="M18:S18"/>
    <mergeCell ref="T18:X18"/>
    <mergeCell ref="A20:X20"/>
    <mergeCell ref="B21:C21"/>
    <mergeCell ref="D21:M21"/>
    <mergeCell ref="N21:P21"/>
    <mergeCell ref="Q21:S21"/>
    <mergeCell ref="T21:X21"/>
    <mergeCell ref="B16:C16"/>
    <mergeCell ref="D16:M16"/>
    <mergeCell ref="N16:O16"/>
    <mergeCell ref="Q16:S16"/>
    <mergeCell ref="T16:X16"/>
    <mergeCell ref="B17:C17"/>
    <mergeCell ref="D17:M17"/>
    <mergeCell ref="N17:O17"/>
    <mergeCell ref="Q17:S17"/>
    <mergeCell ref="T17:X17"/>
    <mergeCell ref="B14:C14"/>
    <mergeCell ref="D14:M14"/>
    <mergeCell ref="N14:O14"/>
    <mergeCell ref="Q14:S14"/>
    <mergeCell ref="T14:X14"/>
    <mergeCell ref="B15:C15"/>
    <mergeCell ref="D15:M15"/>
    <mergeCell ref="N15:O15"/>
    <mergeCell ref="Q15:S15"/>
    <mergeCell ref="T15:X15"/>
    <mergeCell ref="B12:C12"/>
    <mergeCell ref="D12:M12"/>
    <mergeCell ref="N12:O12"/>
    <mergeCell ref="Q12:S12"/>
    <mergeCell ref="T12:X12"/>
    <mergeCell ref="B13:C13"/>
    <mergeCell ref="D13:M13"/>
    <mergeCell ref="N13:O13"/>
    <mergeCell ref="Q13:S13"/>
    <mergeCell ref="T13:X13"/>
    <mergeCell ref="B10:C10"/>
    <mergeCell ref="D10:M10"/>
    <mergeCell ref="N10:O10"/>
    <mergeCell ref="Q10:S10"/>
    <mergeCell ref="T10:X10"/>
    <mergeCell ref="B11:C11"/>
    <mergeCell ref="D11:M11"/>
    <mergeCell ref="N11:O11"/>
    <mergeCell ref="Q11:S11"/>
    <mergeCell ref="T11:X11"/>
    <mergeCell ref="A6:B6"/>
    <mergeCell ref="C6:M6"/>
    <mergeCell ref="A7:B7"/>
    <mergeCell ref="C7:M7"/>
    <mergeCell ref="A8:X8"/>
    <mergeCell ref="B9:C9"/>
    <mergeCell ref="D9:M9"/>
    <mergeCell ref="N9:P9"/>
    <mergeCell ref="Q9:S9"/>
    <mergeCell ref="T9:X9"/>
    <mergeCell ref="A1:X1"/>
    <mergeCell ref="A3:B3"/>
    <mergeCell ref="C3:M3"/>
    <mergeCell ref="A4:B4"/>
    <mergeCell ref="C4:M4"/>
    <mergeCell ref="A5:B5"/>
    <mergeCell ref="C5:M5"/>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rowBreaks count="1" manualBreakCount="1">
    <brk id="28" max="255" man="1"/>
  </rowBreaks>
</worksheet>
</file>

<file path=xl/worksheets/sheet6.xml><?xml version="1.0" encoding="utf-8"?>
<worksheet xmlns="http://schemas.openxmlformats.org/spreadsheetml/2006/main" xmlns:r="http://schemas.openxmlformats.org/officeDocument/2006/relationships">
  <dimension ref="B1:BM150"/>
  <sheetViews>
    <sheetView showOutlineSymbols="0" zoomScale="90" zoomScaleNormal="90" zoomScalePageLayoutView="0" workbookViewId="0" topLeftCell="A1">
      <selection activeCell="N21" sqref="N21"/>
    </sheetView>
  </sheetViews>
  <sheetFormatPr defaultColWidth="8.83203125" defaultRowHeight="11.25"/>
  <cols>
    <col min="1" max="1" width="6.66015625" style="136" customWidth="1"/>
    <col min="2" max="2" width="1.3359375" style="136" customWidth="1"/>
    <col min="3" max="3" width="4.5" style="136" customWidth="1"/>
    <col min="4" max="4" width="3.5" style="136" customWidth="1"/>
    <col min="5" max="5" width="13.83203125" style="136" customWidth="1"/>
    <col min="6" max="7" width="9" style="136" customWidth="1"/>
    <col min="8" max="8" width="10" style="136" customWidth="1"/>
    <col min="9" max="9" width="5.66015625" style="136" customWidth="1"/>
    <col min="10" max="10" width="4.16015625" style="136" customWidth="1"/>
    <col min="11" max="11" width="9.16015625" style="136" customWidth="1"/>
    <col min="12" max="12" width="9.66015625" style="136" customWidth="1"/>
    <col min="13" max="14" width="4.83203125" style="136" customWidth="1"/>
    <col min="15" max="15" width="1.5" style="136" customWidth="1"/>
    <col min="16" max="16" width="10" style="136" customWidth="1"/>
    <col min="17" max="17" width="3.33203125" style="136" customWidth="1"/>
    <col min="18" max="18" width="1.3359375" style="136" customWidth="1"/>
    <col min="19" max="19" width="6.5" style="136" customWidth="1"/>
    <col min="20" max="20" width="24" style="136" hidden="1" customWidth="1"/>
    <col min="21" max="21" width="13.16015625" style="136" hidden="1" customWidth="1"/>
    <col min="22" max="22" width="9.83203125" style="136" hidden="1" customWidth="1"/>
    <col min="23" max="23" width="13.16015625" style="136" hidden="1" customWidth="1"/>
    <col min="24" max="24" width="9.83203125" style="136" hidden="1" customWidth="1"/>
    <col min="25" max="25" width="12" style="136" hidden="1" customWidth="1"/>
    <col min="26" max="26" width="9" style="136" hidden="1" customWidth="1"/>
    <col min="27" max="27" width="12" style="136" hidden="1" customWidth="1"/>
    <col min="28" max="28" width="13.16015625" style="136" hidden="1" customWidth="1"/>
    <col min="29" max="29" width="9" style="136" customWidth="1"/>
    <col min="30" max="30" width="12" style="136" customWidth="1"/>
    <col min="31" max="31" width="13.16015625" style="136" customWidth="1"/>
    <col min="32" max="43" width="8.83203125" style="136" customWidth="1"/>
    <col min="44" max="64" width="8.66015625" style="136" hidden="1" customWidth="1"/>
    <col min="65" max="16384" width="8.83203125" style="136" customWidth="1"/>
  </cols>
  <sheetData>
    <row r="1" spans="3:46" ht="21.75" customHeight="1">
      <c r="C1" s="356" t="s">
        <v>790</v>
      </c>
      <c r="D1" s="356"/>
      <c r="E1" s="356"/>
      <c r="F1" s="356"/>
      <c r="G1" s="356"/>
      <c r="H1" s="356"/>
      <c r="I1" s="356"/>
      <c r="J1" s="356"/>
      <c r="K1" s="356"/>
      <c r="L1" s="356"/>
      <c r="M1" s="356"/>
      <c r="N1" s="356"/>
      <c r="O1" s="356"/>
      <c r="P1" s="356"/>
      <c r="Q1" s="356"/>
      <c r="S1" s="357" t="s">
        <v>791</v>
      </c>
      <c r="T1" s="357"/>
      <c r="U1" s="357"/>
      <c r="V1" s="357"/>
      <c r="W1" s="357"/>
      <c r="X1" s="357"/>
      <c r="Y1" s="357"/>
      <c r="Z1" s="357"/>
      <c r="AA1" s="357"/>
      <c r="AB1" s="357"/>
      <c r="AC1" s="357"/>
      <c r="AT1" s="137" t="s">
        <v>792</v>
      </c>
    </row>
    <row r="2" spans="2:18" s="138" customFormat="1" ht="6.75" customHeight="1">
      <c r="B2" s="139"/>
      <c r="C2" s="140"/>
      <c r="D2" s="140"/>
      <c r="E2" s="140"/>
      <c r="F2" s="140"/>
      <c r="G2" s="140"/>
      <c r="H2" s="140"/>
      <c r="I2" s="140"/>
      <c r="J2" s="140"/>
      <c r="K2" s="140"/>
      <c r="L2" s="140"/>
      <c r="M2" s="140"/>
      <c r="N2" s="140"/>
      <c r="O2" s="140"/>
      <c r="P2" s="140"/>
      <c r="Q2" s="140"/>
      <c r="R2" s="141"/>
    </row>
    <row r="3" spans="2:18" s="138" customFormat="1" ht="36.75" customHeight="1">
      <c r="B3" s="142"/>
      <c r="C3" s="358" t="s">
        <v>793</v>
      </c>
      <c r="D3" s="358"/>
      <c r="E3" s="358"/>
      <c r="F3" s="358"/>
      <c r="G3" s="358"/>
      <c r="H3" s="358"/>
      <c r="I3" s="358"/>
      <c r="J3" s="358"/>
      <c r="K3" s="358"/>
      <c r="L3" s="358"/>
      <c r="M3" s="358"/>
      <c r="N3" s="358"/>
      <c r="O3" s="358"/>
      <c r="P3" s="358"/>
      <c r="Q3" s="358"/>
      <c r="R3" s="143"/>
    </row>
    <row r="4" spans="2:18" s="138" customFormat="1" ht="6.75" customHeight="1">
      <c r="B4" s="142"/>
      <c r="R4" s="143"/>
    </row>
    <row r="5" spans="2:18" s="138" customFormat="1" ht="36.75" customHeight="1">
      <c r="B5" s="142"/>
      <c r="C5" s="144" t="s">
        <v>794</v>
      </c>
      <c r="F5" s="359" t="s">
        <v>795</v>
      </c>
      <c r="G5" s="359"/>
      <c r="H5" s="359"/>
      <c r="I5" s="359"/>
      <c r="J5" s="359"/>
      <c r="K5" s="359"/>
      <c r="L5" s="359"/>
      <c r="M5" s="359"/>
      <c r="N5" s="359"/>
      <c r="O5" s="359"/>
      <c r="P5" s="359"/>
      <c r="R5" s="143"/>
    </row>
    <row r="6" spans="2:18" s="138" customFormat="1" ht="6.75" customHeight="1">
      <c r="B6" s="142"/>
      <c r="R6" s="143"/>
    </row>
    <row r="7" spans="2:18" s="138" customFormat="1" ht="18" customHeight="1">
      <c r="B7" s="142"/>
      <c r="C7" s="145" t="s">
        <v>796</v>
      </c>
      <c r="F7" s="146" t="s">
        <v>797</v>
      </c>
      <c r="K7" s="145" t="s">
        <v>13</v>
      </c>
      <c r="M7" s="360">
        <v>45209</v>
      </c>
      <c r="N7" s="360"/>
      <c r="O7" s="360"/>
      <c r="P7" s="360"/>
      <c r="R7" s="143"/>
    </row>
    <row r="8" spans="2:18" s="138" customFormat="1" ht="6.75" customHeight="1">
      <c r="B8" s="142"/>
      <c r="R8" s="143"/>
    </row>
    <row r="9" spans="2:18" s="138" customFormat="1" ht="15">
      <c r="B9" s="142"/>
      <c r="C9" s="145" t="s">
        <v>2</v>
      </c>
      <c r="F9" s="146" t="s">
        <v>798</v>
      </c>
      <c r="K9" s="145" t="s">
        <v>5</v>
      </c>
      <c r="M9" s="361" t="s">
        <v>799</v>
      </c>
      <c r="N9" s="361"/>
      <c r="O9" s="361"/>
      <c r="P9" s="361"/>
      <c r="Q9" s="361"/>
      <c r="R9" s="143"/>
    </row>
    <row r="10" spans="2:18" s="138" customFormat="1" ht="14.25" customHeight="1">
      <c r="B10" s="142"/>
      <c r="C10" s="145" t="s">
        <v>7</v>
      </c>
      <c r="F10" s="146"/>
      <c r="K10" s="145" t="s">
        <v>800</v>
      </c>
      <c r="M10" s="361" t="s">
        <v>799</v>
      </c>
      <c r="N10" s="361"/>
      <c r="O10" s="361"/>
      <c r="P10" s="361"/>
      <c r="Q10" s="361"/>
      <c r="R10" s="143"/>
    </row>
    <row r="11" spans="2:18" s="138" customFormat="1" ht="9.75" customHeight="1">
      <c r="B11" s="142"/>
      <c r="R11" s="143"/>
    </row>
    <row r="12" spans="2:18" s="138" customFormat="1" ht="29.25" customHeight="1">
      <c r="B12" s="142"/>
      <c r="C12" s="362" t="s">
        <v>801</v>
      </c>
      <c r="D12" s="362"/>
      <c r="E12" s="362"/>
      <c r="F12" s="362"/>
      <c r="G12" s="362"/>
      <c r="H12" s="147"/>
      <c r="I12" s="147"/>
      <c r="J12" s="147"/>
      <c r="K12" s="147"/>
      <c r="L12" s="147"/>
      <c r="M12" s="147"/>
      <c r="N12" s="362" t="s">
        <v>802</v>
      </c>
      <c r="O12" s="362"/>
      <c r="P12" s="362"/>
      <c r="Q12" s="362"/>
      <c r="R12" s="143"/>
    </row>
    <row r="13" spans="2:18" s="138" customFormat="1" ht="9.75" customHeight="1">
      <c r="B13" s="142"/>
      <c r="R13" s="143"/>
    </row>
    <row r="14" spans="2:47" s="138" customFormat="1" ht="29.25" customHeight="1">
      <c r="B14" s="142"/>
      <c r="C14" s="148" t="s">
        <v>803</v>
      </c>
      <c r="N14" s="363">
        <f>N48</f>
        <v>0</v>
      </c>
      <c r="O14" s="363"/>
      <c r="P14" s="363"/>
      <c r="Q14" s="363"/>
      <c r="R14" s="143"/>
      <c r="AU14" s="137" t="s">
        <v>804</v>
      </c>
    </row>
    <row r="15" spans="2:47" s="138" customFormat="1" ht="29.25" customHeight="1">
      <c r="B15" s="142"/>
      <c r="C15" s="148"/>
      <c r="D15" s="149" t="s">
        <v>805</v>
      </c>
      <c r="E15" s="150"/>
      <c r="F15" s="150"/>
      <c r="G15" s="150"/>
      <c r="H15" s="150"/>
      <c r="I15" s="150"/>
      <c r="J15" s="150"/>
      <c r="K15" s="150"/>
      <c r="L15" s="150"/>
      <c r="M15" s="150"/>
      <c r="N15" s="364">
        <f>N50</f>
        <v>0</v>
      </c>
      <c r="O15" s="364"/>
      <c r="P15" s="364"/>
      <c r="Q15" s="364"/>
      <c r="R15" s="143"/>
      <c r="AU15" s="137"/>
    </row>
    <row r="16" spans="2:18" s="150" customFormat="1" ht="24.75" customHeight="1">
      <c r="B16" s="151"/>
      <c r="D16" s="149" t="s">
        <v>806</v>
      </c>
      <c r="N16" s="364">
        <f>N17+N18+N19+N20+N21+N22+N23+N24</f>
        <v>0</v>
      </c>
      <c r="O16" s="364"/>
      <c r="P16" s="364"/>
      <c r="Q16" s="364"/>
      <c r="R16" s="152"/>
    </row>
    <row r="17" spans="2:18" s="153" customFormat="1" ht="19.5" customHeight="1">
      <c r="B17" s="154"/>
      <c r="D17" s="155" t="s">
        <v>807</v>
      </c>
      <c r="N17" s="365">
        <f>N58</f>
        <v>0</v>
      </c>
      <c r="O17" s="365"/>
      <c r="P17" s="365"/>
      <c r="Q17" s="365"/>
      <c r="R17" s="156"/>
    </row>
    <row r="18" spans="2:18" s="153" customFormat="1" ht="19.5" customHeight="1">
      <c r="B18" s="154"/>
      <c r="D18" s="155" t="s">
        <v>808</v>
      </c>
      <c r="N18" s="365">
        <f>N60</f>
        <v>0</v>
      </c>
      <c r="O18" s="365"/>
      <c r="P18" s="365"/>
      <c r="Q18" s="365"/>
      <c r="R18" s="156"/>
    </row>
    <row r="19" spans="2:18" s="153" customFormat="1" ht="19.5" customHeight="1">
      <c r="B19" s="154"/>
      <c r="D19" s="155" t="s">
        <v>809</v>
      </c>
      <c r="N19" s="365">
        <f>N69</f>
        <v>0</v>
      </c>
      <c r="O19" s="365"/>
      <c r="P19" s="365"/>
      <c r="Q19" s="365"/>
      <c r="R19" s="156"/>
    </row>
    <row r="20" spans="2:18" s="153" customFormat="1" ht="19.5" customHeight="1">
      <c r="B20" s="154"/>
      <c r="D20" s="155" t="s">
        <v>810</v>
      </c>
      <c r="N20" s="365">
        <f>N85</f>
        <v>0</v>
      </c>
      <c r="O20" s="365"/>
      <c r="P20" s="365"/>
      <c r="Q20" s="365"/>
      <c r="R20" s="156"/>
    </row>
    <row r="21" spans="2:18" s="153" customFormat="1" ht="19.5" customHeight="1">
      <c r="B21" s="154"/>
      <c r="D21" s="155" t="s">
        <v>811</v>
      </c>
      <c r="E21" s="155"/>
      <c r="N21" s="365">
        <f>N101</f>
        <v>0</v>
      </c>
      <c r="O21" s="365"/>
      <c r="P21" s="365"/>
      <c r="Q21" s="365"/>
      <c r="R21" s="156"/>
    </row>
    <row r="22" spans="2:18" s="153" customFormat="1" ht="19.5" customHeight="1">
      <c r="B22" s="154"/>
      <c r="D22" s="155" t="s">
        <v>812</v>
      </c>
      <c r="N22" s="365">
        <f>N114</f>
        <v>0</v>
      </c>
      <c r="O22" s="365"/>
      <c r="P22" s="365"/>
      <c r="Q22" s="365"/>
      <c r="R22" s="156"/>
    </row>
    <row r="23" spans="2:18" s="153" customFormat="1" ht="19.5" customHeight="1">
      <c r="B23" s="154"/>
      <c r="D23" s="155" t="s">
        <v>813</v>
      </c>
      <c r="N23" s="365">
        <f>N127</f>
        <v>0</v>
      </c>
      <c r="O23" s="365"/>
      <c r="P23" s="365"/>
      <c r="Q23" s="365"/>
      <c r="R23" s="156"/>
    </row>
    <row r="24" spans="2:18" s="153" customFormat="1" ht="19.5" customHeight="1">
      <c r="B24" s="154"/>
      <c r="D24" s="155" t="s">
        <v>814</v>
      </c>
      <c r="N24" s="365">
        <f>N133</f>
        <v>0</v>
      </c>
      <c r="O24" s="365"/>
      <c r="P24" s="365"/>
      <c r="Q24" s="365"/>
      <c r="R24" s="156"/>
    </row>
    <row r="25" spans="2:18" s="150" customFormat="1" ht="24.75" customHeight="1">
      <c r="B25" s="151"/>
      <c r="D25" s="149" t="s">
        <v>815</v>
      </c>
      <c r="N25" s="364">
        <f>N136</f>
        <v>0</v>
      </c>
      <c r="O25" s="364"/>
      <c r="P25" s="364"/>
      <c r="Q25" s="364"/>
      <c r="R25" s="152"/>
    </row>
    <row r="26" spans="2:18" s="153" customFormat="1" ht="19.5" customHeight="1">
      <c r="B26" s="154"/>
      <c r="D26" s="155" t="s">
        <v>816</v>
      </c>
      <c r="N26" s="365">
        <f>N137</f>
        <v>0</v>
      </c>
      <c r="O26" s="365"/>
      <c r="P26" s="365"/>
      <c r="Q26" s="365"/>
      <c r="R26" s="156"/>
    </row>
    <row r="27" spans="2:18" s="153" customFormat="1" ht="19.5" customHeight="1">
      <c r="B27" s="154"/>
      <c r="D27" s="155" t="s">
        <v>817</v>
      </c>
      <c r="N27" s="365">
        <f>N140</f>
        <v>0</v>
      </c>
      <c r="O27" s="365"/>
      <c r="P27" s="365"/>
      <c r="Q27" s="365"/>
      <c r="R27" s="156"/>
    </row>
    <row r="28" spans="2:18" s="153" customFormat="1" ht="19.5" customHeight="1">
      <c r="B28" s="154"/>
      <c r="D28" s="155" t="s">
        <v>818</v>
      </c>
      <c r="N28" s="365">
        <f>N142</f>
        <v>0</v>
      </c>
      <c r="O28" s="365"/>
      <c r="P28" s="365"/>
      <c r="Q28" s="365"/>
      <c r="R28" s="156"/>
    </row>
    <row r="29" spans="2:18" s="138" customFormat="1" ht="21.75" customHeight="1">
      <c r="B29" s="142"/>
      <c r="R29" s="143"/>
    </row>
    <row r="30" spans="2:21" s="138" customFormat="1" ht="29.25" customHeight="1">
      <c r="B30" s="142"/>
      <c r="C30" s="148" t="s">
        <v>819</v>
      </c>
      <c r="N30" s="363">
        <v>0</v>
      </c>
      <c r="O30" s="363"/>
      <c r="P30" s="363"/>
      <c r="Q30" s="363"/>
      <c r="R30" s="143"/>
      <c r="T30" s="157"/>
      <c r="U30" s="158" t="s">
        <v>820</v>
      </c>
    </row>
    <row r="31" spans="2:18" s="138" customFormat="1" ht="18" customHeight="1">
      <c r="B31" s="142"/>
      <c r="R31" s="143"/>
    </row>
    <row r="32" spans="2:18" s="138" customFormat="1" ht="29.25" customHeight="1">
      <c r="B32" s="142"/>
      <c r="C32" s="159" t="s">
        <v>821</v>
      </c>
      <c r="D32" s="147"/>
      <c r="E32" s="147"/>
      <c r="F32" s="147"/>
      <c r="G32" s="147"/>
      <c r="H32" s="147"/>
      <c r="I32" s="147"/>
      <c r="J32" s="147"/>
      <c r="K32" s="147"/>
      <c r="L32" s="366">
        <f>N25+N16+N15</f>
        <v>0</v>
      </c>
      <c r="M32" s="366"/>
      <c r="N32" s="366"/>
      <c r="O32" s="366"/>
      <c r="P32" s="366"/>
      <c r="Q32" s="366"/>
      <c r="R32" s="143"/>
    </row>
    <row r="33" spans="2:18" s="138" customFormat="1" ht="6.75" customHeight="1">
      <c r="B33" s="160"/>
      <c r="C33" s="161"/>
      <c r="D33" s="161"/>
      <c r="E33" s="161"/>
      <c r="F33" s="161"/>
      <c r="G33" s="161"/>
      <c r="H33" s="161"/>
      <c r="I33" s="161"/>
      <c r="J33" s="161"/>
      <c r="K33" s="161"/>
      <c r="L33" s="161"/>
      <c r="M33" s="161"/>
      <c r="N33" s="161"/>
      <c r="O33" s="161"/>
      <c r="P33" s="161"/>
      <c r="Q33" s="161"/>
      <c r="R33" s="162"/>
    </row>
    <row r="37" spans="2:18" s="138" customFormat="1" ht="6.75" customHeight="1">
      <c r="B37" s="139"/>
      <c r="C37" s="140"/>
      <c r="D37" s="140"/>
      <c r="E37" s="140"/>
      <c r="F37" s="140"/>
      <c r="G37" s="140"/>
      <c r="H37" s="140"/>
      <c r="I37" s="140"/>
      <c r="J37" s="140"/>
      <c r="K37" s="140"/>
      <c r="L37" s="140"/>
      <c r="M37" s="140"/>
      <c r="N37" s="140"/>
      <c r="O37" s="140"/>
      <c r="P37" s="140"/>
      <c r="Q37" s="140"/>
      <c r="R37" s="141"/>
    </row>
    <row r="38" spans="2:18" s="138" customFormat="1" ht="36.75" customHeight="1">
      <c r="B38" s="142"/>
      <c r="C38" s="358" t="s">
        <v>822</v>
      </c>
      <c r="D38" s="358"/>
      <c r="E38" s="358"/>
      <c r="F38" s="358"/>
      <c r="G38" s="358"/>
      <c r="H38" s="358"/>
      <c r="I38" s="358"/>
      <c r="J38" s="358"/>
      <c r="K38" s="358"/>
      <c r="L38" s="358"/>
      <c r="M38" s="358"/>
      <c r="N38" s="358"/>
      <c r="O38" s="358"/>
      <c r="P38" s="358"/>
      <c r="Q38" s="358"/>
      <c r="R38" s="143"/>
    </row>
    <row r="39" spans="2:18" s="138" customFormat="1" ht="6.75" customHeight="1">
      <c r="B39" s="142"/>
      <c r="R39" s="143"/>
    </row>
    <row r="40" spans="2:18" s="138" customFormat="1" ht="36.75" customHeight="1">
      <c r="B40" s="142"/>
      <c r="C40" s="144" t="s">
        <v>794</v>
      </c>
      <c r="F40" s="359" t="str">
        <f>F5</f>
        <v>Městská knihovna – změna systému vytápění
Elektroinstalace – rozvody NN</v>
      </c>
      <c r="G40" s="359"/>
      <c r="H40" s="359"/>
      <c r="I40" s="359"/>
      <c r="J40" s="359"/>
      <c r="K40" s="359"/>
      <c r="L40" s="359"/>
      <c r="M40" s="359"/>
      <c r="N40" s="359"/>
      <c r="O40" s="359"/>
      <c r="P40" s="359"/>
      <c r="R40" s="143"/>
    </row>
    <row r="41" spans="2:18" s="138" customFormat="1" ht="6.75" customHeight="1">
      <c r="B41" s="142"/>
      <c r="R41" s="143"/>
    </row>
    <row r="42" spans="2:18" s="138" customFormat="1" ht="18" customHeight="1">
      <c r="B42" s="142"/>
      <c r="C42" s="145" t="s">
        <v>796</v>
      </c>
      <c r="F42" s="146" t="str">
        <f>F7</f>
        <v>Třída 9. května 150/29, Rumburk</v>
      </c>
      <c r="K42" s="145" t="s">
        <v>13</v>
      </c>
      <c r="M42" s="360">
        <f>M7</f>
        <v>45209</v>
      </c>
      <c r="N42" s="360"/>
      <c r="O42" s="360"/>
      <c r="P42" s="360"/>
      <c r="R42" s="143"/>
    </row>
    <row r="43" spans="2:18" s="138" customFormat="1" ht="6.75" customHeight="1">
      <c r="B43" s="142"/>
      <c r="R43" s="143"/>
    </row>
    <row r="44" spans="2:18" s="138" customFormat="1" ht="15">
      <c r="B44" s="142"/>
      <c r="C44" s="145" t="s">
        <v>2</v>
      </c>
      <c r="F44" s="146" t="str">
        <f>F9</f>
        <v>Město Rumburk</v>
      </c>
      <c r="K44" s="145" t="s">
        <v>5</v>
      </c>
      <c r="M44" s="361" t="str">
        <f>M9</f>
        <v>Ing. Ota Pour</v>
      </c>
      <c r="N44" s="361"/>
      <c r="O44" s="361"/>
      <c r="P44" s="361"/>
      <c r="Q44" s="361"/>
      <c r="R44" s="143"/>
    </row>
    <row r="45" spans="2:18" s="138" customFormat="1" ht="14.25" customHeight="1">
      <c r="B45" s="142"/>
      <c r="C45" s="145" t="s">
        <v>7</v>
      </c>
      <c r="F45" s="146"/>
      <c r="K45" s="145" t="s">
        <v>800</v>
      </c>
      <c r="M45" s="361" t="str">
        <f>M10</f>
        <v>Ing. Ota Pour</v>
      </c>
      <c r="N45" s="361"/>
      <c r="O45" s="361"/>
      <c r="P45" s="361"/>
      <c r="Q45" s="361"/>
      <c r="R45" s="143"/>
    </row>
    <row r="46" spans="2:18" s="138" customFormat="1" ht="9.75" customHeight="1">
      <c r="B46" s="142"/>
      <c r="R46" s="143"/>
    </row>
    <row r="47" spans="2:27" s="163" customFormat="1" ht="29.25" customHeight="1">
      <c r="B47" s="164"/>
      <c r="C47" s="165" t="s">
        <v>823</v>
      </c>
      <c r="D47" s="166" t="s">
        <v>824</v>
      </c>
      <c r="E47" s="166" t="s">
        <v>61</v>
      </c>
      <c r="F47" s="367" t="s">
        <v>825</v>
      </c>
      <c r="G47" s="367"/>
      <c r="H47" s="367"/>
      <c r="I47" s="367"/>
      <c r="J47" s="166" t="s">
        <v>138</v>
      </c>
      <c r="K47" s="166" t="s">
        <v>139</v>
      </c>
      <c r="L47" s="368" t="s">
        <v>826</v>
      </c>
      <c r="M47" s="368"/>
      <c r="N47" s="369" t="s">
        <v>802</v>
      </c>
      <c r="O47" s="369"/>
      <c r="P47" s="369"/>
      <c r="Q47" s="369"/>
      <c r="R47" s="167"/>
      <c r="T47" s="168" t="s">
        <v>827</v>
      </c>
      <c r="U47" s="169" t="s">
        <v>820</v>
      </c>
      <c r="V47" s="169" t="s">
        <v>828</v>
      </c>
      <c r="W47" s="169" t="s">
        <v>829</v>
      </c>
      <c r="X47" s="169" t="s">
        <v>830</v>
      </c>
      <c r="Y47" s="169" t="s">
        <v>831</v>
      </c>
      <c r="Z47" s="169" t="s">
        <v>832</v>
      </c>
      <c r="AA47" s="170" t="s">
        <v>833</v>
      </c>
    </row>
    <row r="48" spans="2:63" s="138" customFormat="1" ht="29.25" customHeight="1">
      <c r="B48" s="142"/>
      <c r="C48" s="148" t="s">
        <v>834</v>
      </c>
      <c r="N48" s="370">
        <f>L32</f>
        <v>0</v>
      </c>
      <c r="O48" s="370"/>
      <c r="P48" s="370"/>
      <c r="Q48" s="370"/>
      <c r="R48" s="143"/>
      <c r="T48" s="171"/>
      <c r="U48" s="172"/>
      <c r="V48" s="172"/>
      <c r="W48" s="173">
        <f>W49+W136</f>
        <v>44.059</v>
      </c>
      <c r="X48" s="172"/>
      <c r="Y48" s="173">
        <f>Y49+Y136</f>
        <v>0.00817</v>
      </c>
      <c r="Z48" s="172"/>
      <c r="AA48" s="174">
        <f>AA49+AA136</f>
        <v>0</v>
      </c>
      <c r="AT48" s="137" t="s">
        <v>835</v>
      </c>
      <c r="AU48" s="137" t="s">
        <v>804</v>
      </c>
      <c r="BK48" s="175">
        <f>BK49+BK136</f>
        <v>0</v>
      </c>
    </row>
    <row r="49" spans="2:63" s="176" customFormat="1" ht="36.75" customHeight="1">
      <c r="B49" s="177"/>
      <c r="D49" s="178" t="s">
        <v>805</v>
      </c>
      <c r="E49" s="178"/>
      <c r="F49" s="178"/>
      <c r="G49" s="178"/>
      <c r="H49" s="178"/>
      <c r="I49" s="178"/>
      <c r="J49" s="178"/>
      <c r="K49" s="178"/>
      <c r="L49" s="178"/>
      <c r="M49" s="178"/>
      <c r="N49" s="371">
        <f>N50</f>
        <v>0</v>
      </c>
      <c r="O49" s="371"/>
      <c r="P49" s="371"/>
      <c r="Q49" s="371"/>
      <c r="R49" s="179"/>
      <c r="T49" s="180"/>
      <c r="W49" s="181">
        <f>W50+W60+W69+W85+W114+W127+W133</f>
        <v>44.059</v>
      </c>
      <c r="Y49" s="181">
        <f>Y50+Y60+Y69+Y85+Y114+Y127+Y133</f>
        <v>0.00817</v>
      </c>
      <c r="AA49" s="182">
        <f>AA50+AA60+AA69+AA85+AA114+AA127+AA133</f>
        <v>0</v>
      </c>
      <c r="AR49" s="183" t="s">
        <v>177</v>
      </c>
      <c r="AT49" s="184" t="s">
        <v>835</v>
      </c>
      <c r="AU49" s="184" t="s">
        <v>836</v>
      </c>
      <c r="AY49" s="183" t="s">
        <v>837</v>
      </c>
      <c r="BK49" s="185">
        <f>BK50+BK60+BK69+BK85+BK114+BK127+BK133</f>
        <v>0</v>
      </c>
    </row>
    <row r="50" spans="2:63" s="176" customFormat="1" ht="19.5" customHeight="1">
      <c r="B50" s="177"/>
      <c r="D50" s="186" t="s">
        <v>838</v>
      </c>
      <c r="E50" s="186"/>
      <c r="F50" s="186"/>
      <c r="G50" s="186"/>
      <c r="H50" s="186"/>
      <c r="I50" s="186"/>
      <c r="J50" s="186"/>
      <c r="K50" s="186"/>
      <c r="L50" s="186"/>
      <c r="M50" s="186"/>
      <c r="N50" s="372">
        <f>N51+N53+N54+N55+N52</f>
        <v>0</v>
      </c>
      <c r="O50" s="372"/>
      <c r="P50" s="372"/>
      <c r="Q50" s="372"/>
      <c r="R50" s="179"/>
      <c r="T50" s="180"/>
      <c r="W50" s="181">
        <f>W59</f>
        <v>31.842</v>
      </c>
      <c r="Y50" s="181">
        <f>Y59</f>
        <v>0</v>
      </c>
      <c r="AA50" s="182">
        <f>AA59</f>
        <v>0</v>
      </c>
      <c r="AR50" s="183" t="s">
        <v>177</v>
      </c>
      <c r="AT50" s="184" t="s">
        <v>835</v>
      </c>
      <c r="AU50" s="184" t="s">
        <v>163</v>
      </c>
      <c r="AY50" s="183" t="s">
        <v>837</v>
      </c>
      <c r="BK50" s="185">
        <f>BK59</f>
        <v>0</v>
      </c>
    </row>
    <row r="51" spans="2:63" s="176" customFormat="1" ht="28.5" customHeight="1">
      <c r="B51" s="177"/>
      <c r="C51" s="187" t="s">
        <v>163</v>
      </c>
      <c r="D51" s="187" t="s">
        <v>839</v>
      </c>
      <c r="E51" s="188" t="s">
        <v>840</v>
      </c>
      <c r="F51" s="373" t="s">
        <v>841</v>
      </c>
      <c r="G51" s="373"/>
      <c r="H51" s="373"/>
      <c r="I51" s="373"/>
      <c r="J51" s="189" t="s">
        <v>207</v>
      </c>
      <c r="K51" s="190">
        <v>6</v>
      </c>
      <c r="L51" s="374">
        <v>0</v>
      </c>
      <c r="M51" s="374"/>
      <c r="N51" s="374">
        <f>ROUND(L51*K51,2)</f>
        <v>0</v>
      </c>
      <c r="O51" s="374"/>
      <c r="P51" s="374"/>
      <c r="Q51" s="374"/>
      <c r="R51" s="179"/>
      <c r="T51" s="180"/>
      <c r="W51" s="181"/>
      <c r="Y51" s="181"/>
      <c r="AA51" s="182"/>
      <c r="AR51" s="183"/>
      <c r="AT51" s="184"/>
      <c r="AU51" s="184"/>
      <c r="AY51" s="183"/>
      <c r="BK51" s="185"/>
    </row>
    <row r="52" spans="2:63" s="176" customFormat="1" ht="28.5" customHeight="1">
      <c r="B52" s="177"/>
      <c r="C52" s="187">
        <v>2</v>
      </c>
      <c r="D52" s="187" t="s">
        <v>839</v>
      </c>
      <c r="E52" s="188" t="s">
        <v>842</v>
      </c>
      <c r="F52" s="373" t="s">
        <v>843</v>
      </c>
      <c r="G52" s="373"/>
      <c r="H52" s="373"/>
      <c r="I52" s="373"/>
      <c r="J52" s="189" t="s">
        <v>207</v>
      </c>
      <c r="K52" s="190">
        <v>4</v>
      </c>
      <c r="L52" s="374">
        <v>0</v>
      </c>
      <c r="M52" s="374"/>
      <c r="N52" s="374">
        <f>ROUND(L52*K52,2)</f>
        <v>0</v>
      </c>
      <c r="O52" s="374"/>
      <c r="P52" s="374"/>
      <c r="Q52" s="374"/>
      <c r="R52" s="179"/>
      <c r="T52" s="180"/>
      <c r="W52" s="181"/>
      <c r="Y52" s="181"/>
      <c r="AA52" s="182"/>
      <c r="AR52" s="183"/>
      <c r="AT52" s="184"/>
      <c r="AU52" s="184"/>
      <c r="AY52" s="183"/>
      <c r="BK52" s="185"/>
    </row>
    <row r="53" spans="2:63" s="176" customFormat="1" ht="28.5" customHeight="1">
      <c r="B53" s="177"/>
      <c r="C53" s="187">
        <v>3</v>
      </c>
      <c r="D53" s="187" t="s">
        <v>839</v>
      </c>
      <c r="E53" s="188" t="s">
        <v>844</v>
      </c>
      <c r="F53" s="373" t="s">
        <v>845</v>
      </c>
      <c r="G53" s="373"/>
      <c r="H53" s="373"/>
      <c r="I53" s="373"/>
      <c r="J53" s="189" t="s">
        <v>207</v>
      </c>
      <c r="K53" s="190">
        <v>10</v>
      </c>
      <c r="L53" s="374">
        <v>0</v>
      </c>
      <c r="M53" s="374"/>
      <c r="N53" s="374">
        <f>ROUND(L53*K53,2)</f>
        <v>0</v>
      </c>
      <c r="O53" s="374"/>
      <c r="P53" s="374"/>
      <c r="Q53" s="374"/>
      <c r="R53" s="179"/>
      <c r="T53" s="180"/>
      <c r="W53" s="181"/>
      <c r="Y53" s="181"/>
      <c r="AA53" s="182"/>
      <c r="AR53" s="183"/>
      <c r="AT53" s="184"/>
      <c r="AU53" s="184"/>
      <c r="AY53" s="183"/>
      <c r="BK53" s="185"/>
    </row>
    <row r="54" spans="2:63" s="176" customFormat="1" ht="28.5" customHeight="1">
      <c r="B54" s="177"/>
      <c r="C54" s="187">
        <v>4</v>
      </c>
      <c r="D54" s="187" t="s">
        <v>839</v>
      </c>
      <c r="E54" s="188" t="s">
        <v>846</v>
      </c>
      <c r="F54" s="373" t="s">
        <v>847</v>
      </c>
      <c r="G54" s="373"/>
      <c r="H54" s="373"/>
      <c r="I54" s="373"/>
      <c r="J54" s="189" t="s">
        <v>243</v>
      </c>
      <c r="K54" s="191">
        <v>60</v>
      </c>
      <c r="L54" s="374">
        <v>0</v>
      </c>
      <c r="M54" s="374"/>
      <c r="N54" s="374">
        <f>ROUND(L54*K54,2)</f>
        <v>0</v>
      </c>
      <c r="O54" s="374"/>
      <c r="P54" s="374"/>
      <c r="Q54" s="374"/>
      <c r="R54" s="179"/>
      <c r="T54" s="180"/>
      <c r="W54" s="181"/>
      <c r="Y54" s="181"/>
      <c r="AA54" s="182"/>
      <c r="AR54" s="183"/>
      <c r="AT54" s="184"/>
      <c r="AU54" s="184"/>
      <c r="AY54" s="183"/>
      <c r="BK54" s="185"/>
    </row>
    <row r="55" spans="2:63" s="176" customFormat="1" ht="28.5" customHeight="1">
      <c r="B55" s="177"/>
      <c r="C55" s="187">
        <v>5</v>
      </c>
      <c r="D55" s="187" t="s">
        <v>839</v>
      </c>
      <c r="E55" s="188" t="s">
        <v>848</v>
      </c>
      <c r="F55" s="373" t="s">
        <v>849</v>
      </c>
      <c r="G55" s="373"/>
      <c r="H55" s="373"/>
      <c r="I55" s="373"/>
      <c r="J55" s="189" t="s">
        <v>243</v>
      </c>
      <c r="K55" s="190">
        <v>10</v>
      </c>
      <c r="L55" s="374">
        <v>0</v>
      </c>
      <c r="M55" s="374"/>
      <c r="N55" s="374">
        <f>ROUND(L55*K55,2)</f>
        <v>0</v>
      </c>
      <c r="O55" s="374"/>
      <c r="P55" s="374"/>
      <c r="Q55" s="374"/>
      <c r="R55" s="179"/>
      <c r="T55" s="180"/>
      <c r="W55" s="181"/>
      <c r="Y55" s="181"/>
      <c r="AA55" s="182"/>
      <c r="AR55" s="183"/>
      <c r="AT55" s="184"/>
      <c r="AU55" s="184"/>
      <c r="AY55" s="183"/>
      <c r="BK55" s="185"/>
    </row>
    <row r="56" spans="2:63" s="176" customFormat="1" ht="19.5" customHeight="1">
      <c r="B56" s="177"/>
      <c r="D56" s="186"/>
      <c r="E56" s="186"/>
      <c r="F56" s="186"/>
      <c r="G56" s="186"/>
      <c r="H56" s="186"/>
      <c r="I56" s="186"/>
      <c r="J56" s="186"/>
      <c r="K56" s="186"/>
      <c r="L56" s="186"/>
      <c r="M56" s="186"/>
      <c r="N56" s="192"/>
      <c r="O56" s="193"/>
      <c r="P56" s="193"/>
      <c r="Q56" s="193"/>
      <c r="R56" s="179"/>
      <c r="T56" s="180"/>
      <c r="W56" s="181"/>
      <c r="Y56" s="181"/>
      <c r="AA56" s="182"/>
      <c r="AR56" s="183"/>
      <c r="AT56" s="184"/>
      <c r="AU56" s="184"/>
      <c r="AY56" s="183"/>
      <c r="BK56" s="185"/>
    </row>
    <row r="57" spans="2:63" s="176" customFormat="1" ht="19.5" customHeight="1">
      <c r="B57" s="177"/>
      <c r="D57" s="178" t="s">
        <v>806</v>
      </c>
      <c r="E57" s="178"/>
      <c r="F57" s="178"/>
      <c r="G57" s="178"/>
      <c r="H57" s="178"/>
      <c r="I57" s="178"/>
      <c r="J57" s="178"/>
      <c r="K57" s="178"/>
      <c r="L57" s="178"/>
      <c r="M57" s="178"/>
      <c r="N57" s="371">
        <f>N58+N60+N69+N85+N101+N114+N127+N133</f>
        <v>0</v>
      </c>
      <c r="O57" s="371"/>
      <c r="P57" s="371"/>
      <c r="Q57" s="371"/>
      <c r="R57" s="179"/>
      <c r="T57" s="180"/>
      <c r="W57" s="181"/>
      <c r="Y57" s="181"/>
      <c r="AA57" s="182"/>
      <c r="AR57" s="183"/>
      <c r="AT57" s="184"/>
      <c r="AU57" s="184"/>
      <c r="AY57" s="183"/>
      <c r="BK57" s="185"/>
    </row>
    <row r="58" spans="2:63" s="176" customFormat="1" ht="19.5" customHeight="1">
      <c r="B58" s="177"/>
      <c r="D58" s="186" t="s">
        <v>807</v>
      </c>
      <c r="E58" s="186"/>
      <c r="F58" s="186"/>
      <c r="G58" s="186"/>
      <c r="H58" s="186"/>
      <c r="I58" s="186"/>
      <c r="J58" s="186"/>
      <c r="K58" s="186"/>
      <c r="L58" s="186"/>
      <c r="M58" s="186"/>
      <c r="N58" s="372">
        <f>N59</f>
        <v>0</v>
      </c>
      <c r="O58" s="372"/>
      <c r="P58" s="372"/>
      <c r="Q58" s="372"/>
      <c r="R58" s="179"/>
      <c r="T58" s="180"/>
      <c r="W58" s="181"/>
      <c r="Y58" s="181"/>
      <c r="AA58" s="182"/>
      <c r="AR58" s="183"/>
      <c r="AT58" s="184"/>
      <c r="AU58" s="184"/>
      <c r="AY58" s="183"/>
      <c r="BK58" s="185"/>
    </row>
    <row r="59" spans="2:65" s="138" customFormat="1" ht="39.75" customHeight="1">
      <c r="B59" s="194"/>
      <c r="C59" s="195">
        <v>6</v>
      </c>
      <c r="D59" s="195" t="s">
        <v>839</v>
      </c>
      <c r="E59" s="188" t="s">
        <v>850</v>
      </c>
      <c r="F59" s="375" t="s">
        <v>851</v>
      </c>
      <c r="G59" s="375"/>
      <c r="H59" s="375"/>
      <c r="I59" s="375"/>
      <c r="J59" s="196" t="s">
        <v>207</v>
      </c>
      <c r="K59" s="197">
        <v>1</v>
      </c>
      <c r="L59" s="376">
        <v>0</v>
      </c>
      <c r="M59" s="376"/>
      <c r="N59" s="376">
        <f>ROUND(L59*K59,2)</f>
        <v>0</v>
      </c>
      <c r="O59" s="376"/>
      <c r="P59" s="376"/>
      <c r="Q59" s="376"/>
      <c r="R59" s="198"/>
      <c r="T59" s="199"/>
      <c r="U59" s="200" t="s">
        <v>852</v>
      </c>
      <c r="V59" s="201">
        <v>31.842</v>
      </c>
      <c r="W59" s="201">
        <f>V59*K59</f>
        <v>31.842</v>
      </c>
      <c r="X59" s="201">
        <v>0</v>
      </c>
      <c r="Y59" s="201">
        <f>X59*K59</f>
        <v>0</v>
      </c>
      <c r="Z59" s="201">
        <v>0</v>
      </c>
      <c r="AA59" s="202">
        <f>Z59*K59</f>
        <v>0</v>
      </c>
      <c r="AR59" s="137" t="s">
        <v>272</v>
      </c>
      <c r="AT59" s="137" t="s">
        <v>839</v>
      </c>
      <c r="AU59" s="137" t="s">
        <v>177</v>
      </c>
      <c r="AY59" s="137" t="s">
        <v>837</v>
      </c>
      <c r="BE59" s="203">
        <f>IF(U59="základní",N59,0)</f>
        <v>0</v>
      </c>
      <c r="BF59" s="203">
        <f>IF(U59="snížená",N59,0)</f>
        <v>0</v>
      </c>
      <c r="BG59" s="203">
        <f>IF(U59="zákl. přenesená",N59,0)</f>
        <v>0</v>
      </c>
      <c r="BH59" s="203">
        <f>IF(U59="sníž. přenesená",N59,0)</f>
        <v>0</v>
      </c>
      <c r="BI59" s="203">
        <f>IF(U59="nulová",N59,0)</f>
        <v>0</v>
      </c>
      <c r="BJ59" s="137" t="s">
        <v>163</v>
      </c>
      <c r="BK59" s="203">
        <f>ROUND(L59*K59,2)</f>
        <v>0</v>
      </c>
      <c r="BL59" s="137" t="s">
        <v>272</v>
      </c>
      <c r="BM59" s="137" t="s">
        <v>853</v>
      </c>
    </row>
    <row r="60" spans="2:63" s="176" customFormat="1" ht="29.25" customHeight="1">
      <c r="B60" s="177"/>
      <c r="D60" s="186" t="s">
        <v>808</v>
      </c>
      <c r="E60" s="186"/>
      <c r="F60" s="186"/>
      <c r="G60" s="186"/>
      <c r="H60" s="186"/>
      <c r="I60" s="186"/>
      <c r="J60" s="186"/>
      <c r="K60" s="186"/>
      <c r="L60" s="186"/>
      <c r="M60" s="186"/>
      <c r="N60" s="377">
        <f>N61+N62+N66+N67+N68+N65+N63+N64</f>
        <v>0</v>
      </c>
      <c r="O60" s="377"/>
      <c r="P60" s="377"/>
      <c r="Q60" s="377"/>
      <c r="R60" s="179"/>
      <c r="T60" s="180"/>
      <c r="W60" s="181">
        <f>SUM(W61:W68)</f>
        <v>0.42</v>
      </c>
      <c r="Y60" s="181">
        <f>SUM(Y61:Y68)</f>
        <v>0.005</v>
      </c>
      <c r="AA60" s="182">
        <f>SUM(AA61:AA68)</f>
        <v>0</v>
      </c>
      <c r="AR60" s="183" t="s">
        <v>177</v>
      </c>
      <c r="AT60" s="184" t="s">
        <v>835</v>
      </c>
      <c r="AU60" s="184" t="s">
        <v>163</v>
      </c>
      <c r="AY60" s="183" t="s">
        <v>837</v>
      </c>
      <c r="BK60" s="185">
        <f>SUM(BK61:BK68)</f>
        <v>0</v>
      </c>
    </row>
    <row r="61" spans="2:65" s="138" customFormat="1" ht="28.5" customHeight="1">
      <c r="B61" s="194"/>
      <c r="C61" s="195">
        <v>7</v>
      </c>
      <c r="D61" s="195" t="s">
        <v>839</v>
      </c>
      <c r="E61" s="204" t="s">
        <v>854</v>
      </c>
      <c r="F61" s="375" t="s">
        <v>855</v>
      </c>
      <c r="G61" s="375"/>
      <c r="H61" s="375"/>
      <c r="I61" s="375"/>
      <c r="J61" s="196" t="s">
        <v>616</v>
      </c>
      <c r="K61" s="197">
        <f>K62</f>
        <v>1</v>
      </c>
      <c r="L61" s="376">
        <v>0</v>
      </c>
      <c r="M61" s="376"/>
      <c r="N61" s="376">
        <f aca="true" t="shared" si="0" ref="N61:N68">ROUND(L61*K61,2)</f>
        <v>0</v>
      </c>
      <c r="O61" s="376"/>
      <c r="P61" s="376"/>
      <c r="Q61" s="376"/>
      <c r="R61" s="198"/>
      <c r="T61" s="199"/>
      <c r="U61" s="200"/>
      <c r="V61" s="201"/>
      <c r="W61" s="201"/>
      <c r="X61" s="201"/>
      <c r="Y61" s="201"/>
      <c r="Z61" s="201"/>
      <c r="AA61" s="202"/>
      <c r="AR61" s="137"/>
      <c r="AT61" s="137"/>
      <c r="AU61" s="137"/>
      <c r="AY61" s="137"/>
      <c r="BE61" s="203"/>
      <c r="BF61" s="203"/>
      <c r="BG61" s="203"/>
      <c r="BH61" s="203"/>
      <c r="BI61" s="203"/>
      <c r="BJ61" s="137"/>
      <c r="BK61" s="203"/>
      <c r="BL61" s="137"/>
      <c r="BM61" s="137"/>
    </row>
    <row r="62" spans="2:65" s="138" customFormat="1" ht="30" customHeight="1">
      <c r="B62" s="194"/>
      <c r="C62" s="205">
        <v>8</v>
      </c>
      <c r="D62" s="205" t="s">
        <v>856</v>
      </c>
      <c r="E62" s="206" t="s">
        <v>857</v>
      </c>
      <c r="F62" s="378" t="s">
        <v>858</v>
      </c>
      <c r="G62" s="378"/>
      <c r="H62" s="378"/>
      <c r="I62" s="378"/>
      <c r="J62" s="207" t="s">
        <v>616</v>
      </c>
      <c r="K62" s="208">
        <v>1</v>
      </c>
      <c r="L62" s="379">
        <v>0</v>
      </c>
      <c r="M62" s="379"/>
      <c r="N62" s="379">
        <f t="shared" si="0"/>
        <v>0</v>
      </c>
      <c r="O62" s="379"/>
      <c r="P62" s="379"/>
      <c r="Q62" s="379"/>
      <c r="R62" s="198"/>
      <c r="T62" s="199"/>
      <c r="U62" s="200" t="s">
        <v>852</v>
      </c>
      <c r="V62" s="201">
        <v>0</v>
      </c>
      <c r="W62" s="201">
        <f>V62*K62</f>
        <v>0</v>
      </c>
      <c r="X62" s="201">
        <v>0.005</v>
      </c>
      <c r="Y62" s="201">
        <f>X62*K62</f>
        <v>0.005</v>
      </c>
      <c r="Z62" s="201">
        <v>0</v>
      </c>
      <c r="AA62" s="202">
        <f>Z62*K62</f>
        <v>0</v>
      </c>
      <c r="AR62" s="137" t="s">
        <v>354</v>
      </c>
      <c r="AT62" s="137" t="s">
        <v>856</v>
      </c>
      <c r="AU62" s="137" t="s">
        <v>177</v>
      </c>
      <c r="AY62" s="137" t="s">
        <v>837</v>
      </c>
      <c r="BE62" s="203">
        <f>IF(U62="základní",N62,0)</f>
        <v>0</v>
      </c>
      <c r="BF62" s="203">
        <f>IF(U62="snížená",N62,0)</f>
        <v>0</v>
      </c>
      <c r="BG62" s="203">
        <f>IF(U62="zákl. přenesená",N62,0)</f>
        <v>0</v>
      </c>
      <c r="BH62" s="203">
        <f>IF(U62="sníž. přenesená",N62,0)</f>
        <v>0</v>
      </c>
      <c r="BI62" s="203">
        <f>IF(U62="nulová",N62,0)</f>
        <v>0</v>
      </c>
      <c r="BJ62" s="137" t="s">
        <v>163</v>
      </c>
      <c r="BK62" s="203">
        <f>ROUND(L62*K62,2)</f>
        <v>0</v>
      </c>
      <c r="BL62" s="137" t="s">
        <v>272</v>
      </c>
      <c r="BM62" s="137" t="s">
        <v>859</v>
      </c>
    </row>
    <row r="63" spans="2:65" s="138" customFormat="1" ht="39.75" customHeight="1">
      <c r="B63" s="194"/>
      <c r="C63" s="205">
        <v>9</v>
      </c>
      <c r="D63" s="205" t="s">
        <v>856</v>
      </c>
      <c r="E63" s="206" t="s">
        <v>860</v>
      </c>
      <c r="F63" s="378" t="s">
        <v>861</v>
      </c>
      <c r="G63" s="378"/>
      <c r="H63" s="378"/>
      <c r="I63" s="378"/>
      <c r="J63" s="207" t="s">
        <v>616</v>
      </c>
      <c r="K63" s="208">
        <v>1</v>
      </c>
      <c r="L63" s="379">
        <v>0</v>
      </c>
      <c r="M63" s="379"/>
      <c r="N63" s="379">
        <f t="shared" si="0"/>
        <v>0</v>
      </c>
      <c r="O63" s="379"/>
      <c r="P63" s="379"/>
      <c r="Q63" s="379"/>
      <c r="R63" s="198"/>
      <c r="T63" s="199"/>
      <c r="U63" s="200"/>
      <c r="V63" s="201"/>
      <c r="W63" s="201"/>
      <c r="X63" s="201"/>
      <c r="Y63" s="201"/>
      <c r="Z63" s="201"/>
      <c r="AA63" s="202"/>
      <c r="AR63" s="137"/>
      <c r="AT63" s="137"/>
      <c r="AU63" s="137"/>
      <c r="AY63" s="137"/>
      <c r="BE63" s="203"/>
      <c r="BF63" s="203"/>
      <c r="BG63" s="203"/>
      <c r="BH63" s="203"/>
      <c r="BI63" s="203"/>
      <c r="BJ63" s="137"/>
      <c r="BK63" s="203"/>
      <c r="BL63" s="137"/>
      <c r="BM63" s="137"/>
    </row>
    <row r="64" spans="2:65" s="138" customFormat="1" ht="49.5" customHeight="1">
      <c r="B64" s="194"/>
      <c r="C64" s="205">
        <v>10</v>
      </c>
      <c r="D64" s="205" t="s">
        <v>856</v>
      </c>
      <c r="E64" s="206" t="s">
        <v>862</v>
      </c>
      <c r="F64" s="378" t="s">
        <v>863</v>
      </c>
      <c r="G64" s="378"/>
      <c r="H64" s="378"/>
      <c r="I64" s="378"/>
      <c r="J64" s="207" t="s">
        <v>616</v>
      </c>
      <c r="K64" s="208">
        <v>1</v>
      </c>
      <c r="L64" s="379">
        <v>0</v>
      </c>
      <c r="M64" s="379"/>
      <c r="N64" s="379">
        <f t="shared" si="0"/>
        <v>0</v>
      </c>
      <c r="O64" s="379"/>
      <c r="P64" s="379"/>
      <c r="Q64" s="379"/>
      <c r="R64" s="198"/>
      <c r="T64" s="199"/>
      <c r="U64" s="200"/>
      <c r="V64" s="201"/>
      <c r="W64" s="201"/>
      <c r="X64" s="201"/>
      <c r="Y64" s="201"/>
      <c r="Z64" s="201"/>
      <c r="AA64" s="202"/>
      <c r="AR64" s="137"/>
      <c r="AT64" s="137"/>
      <c r="AU64" s="137"/>
      <c r="AY64" s="137"/>
      <c r="BE64" s="203"/>
      <c r="BF64" s="203"/>
      <c r="BG64" s="203"/>
      <c r="BH64" s="203"/>
      <c r="BI64" s="203"/>
      <c r="BJ64" s="137"/>
      <c r="BK64" s="203"/>
      <c r="BL64" s="137"/>
      <c r="BM64" s="137"/>
    </row>
    <row r="65" spans="2:65" s="138" customFormat="1" ht="30" customHeight="1">
      <c r="B65" s="194"/>
      <c r="C65" s="195">
        <v>11</v>
      </c>
      <c r="D65" s="195" t="s">
        <v>839</v>
      </c>
      <c r="E65" s="204" t="s">
        <v>864</v>
      </c>
      <c r="F65" s="375" t="s">
        <v>865</v>
      </c>
      <c r="G65" s="375"/>
      <c r="H65" s="375"/>
      <c r="I65" s="375"/>
      <c r="J65" s="196" t="s">
        <v>697</v>
      </c>
      <c r="K65" s="197">
        <v>4</v>
      </c>
      <c r="L65" s="376">
        <v>0</v>
      </c>
      <c r="M65" s="376"/>
      <c r="N65" s="376">
        <f t="shared" si="0"/>
        <v>0</v>
      </c>
      <c r="O65" s="376"/>
      <c r="P65" s="376"/>
      <c r="Q65" s="376"/>
      <c r="R65" s="198"/>
      <c r="T65" s="199"/>
      <c r="U65" s="200"/>
      <c r="V65" s="201"/>
      <c r="W65" s="201"/>
      <c r="X65" s="201"/>
      <c r="Y65" s="201"/>
      <c r="Z65" s="201"/>
      <c r="AA65" s="202"/>
      <c r="AR65" s="137"/>
      <c r="AT65" s="137"/>
      <c r="AU65" s="137"/>
      <c r="AY65" s="137"/>
      <c r="BE65" s="203"/>
      <c r="BF65" s="203"/>
      <c r="BG65" s="203"/>
      <c r="BH65" s="203"/>
      <c r="BI65" s="203"/>
      <c r="BJ65" s="137"/>
      <c r="BK65" s="203"/>
      <c r="BL65" s="137"/>
      <c r="BM65" s="137"/>
    </row>
    <row r="66" spans="2:65" s="138" customFormat="1" ht="28.5" customHeight="1">
      <c r="B66" s="194"/>
      <c r="C66" s="195">
        <v>12</v>
      </c>
      <c r="D66" s="195" t="s">
        <v>839</v>
      </c>
      <c r="E66" s="204" t="s">
        <v>866</v>
      </c>
      <c r="F66" s="375" t="s">
        <v>867</v>
      </c>
      <c r="G66" s="375"/>
      <c r="H66" s="375"/>
      <c r="I66" s="375"/>
      <c r="J66" s="196" t="s">
        <v>616</v>
      </c>
      <c r="K66" s="197">
        <v>1</v>
      </c>
      <c r="L66" s="376">
        <v>0</v>
      </c>
      <c r="M66" s="376"/>
      <c r="N66" s="376">
        <f t="shared" si="0"/>
        <v>0</v>
      </c>
      <c r="O66" s="376"/>
      <c r="P66" s="376"/>
      <c r="Q66" s="376"/>
      <c r="R66" s="198"/>
      <c r="T66" s="199"/>
      <c r="U66" s="200"/>
      <c r="V66" s="201"/>
      <c r="W66" s="201"/>
      <c r="X66" s="201"/>
      <c r="Y66" s="201"/>
      <c r="Z66" s="201"/>
      <c r="AA66" s="202"/>
      <c r="AR66" s="137"/>
      <c r="AT66" s="137"/>
      <c r="AU66" s="137"/>
      <c r="AY66" s="137"/>
      <c r="BE66" s="203"/>
      <c r="BF66" s="203"/>
      <c r="BG66" s="203"/>
      <c r="BH66" s="203"/>
      <c r="BI66" s="203"/>
      <c r="BJ66" s="137"/>
      <c r="BK66" s="203"/>
      <c r="BL66" s="137"/>
      <c r="BM66" s="137"/>
    </row>
    <row r="67" spans="2:65" s="138" customFormat="1" ht="28.5" customHeight="1">
      <c r="B67" s="194"/>
      <c r="C67" s="205">
        <v>13</v>
      </c>
      <c r="D67" s="205" t="s">
        <v>856</v>
      </c>
      <c r="E67" s="206" t="s">
        <v>868</v>
      </c>
      <c r="F67" s="378" t="s">
        <v>867</v>
      </c>
      <c r="G67" s="378"/>
      <c r="H67" s="378"/>
      <c r="I67" s="378"/>
      <c r="J67" s="207" t="s">
        <v>616</v>
      </c>
      <c r="K67" s="208">
        <v>1</v>
      </c>
      <c r="L67" s="379">
        <v>0</v>
      </c>
      <c r="M67" s="379"/>
      <c r="N67" s="379">
        <f t="shared" si="0"/>
        <v>0</v>
      </c>
      <c r="O67" s="379"/>
      <c r="P67" s="379"/>
      <c r="Q67" s="379"/>
      <c r="R67" s="198"/>
      <c r="T67" s="199"/>
      <c r="U67" s="200"/>
      <c r="V67" s="201"/>
      <c r="W67" s="201"/>
      <c r="X67" s="201"/>
      <c r="Y67" s="201"/>
      <c r="Z67" s="201"/>
      <c r="AA67" s="202"/>
      <c r="AR67" s="137"/>
      <c r="AT67" s="137"/>
      <c r="AU67" s="137"/>
      <c r="AY67" s="137"/>
      <c r="BE67" s="203"/>
      <c r="BF67" s="203"/>
      <c r="BG67" s="203"/>
      <c r="BH67" s="203"/>
      <c r="BI67" s="203"/>
      <c r="BJ67" s="137"/>
      <c r="BK67" s="203"/>
      <c r="BL67" s="137"/>
      <c r="BM67" s="137"/>
    </row>
    <row r="68" spans="2:65" s="138" customFormat="1" ht="28.5" customHeight="1">
      <c r="B68" s="194"/>
      <c r="C68" s="195">
        <v>14</v>
      </c>
      <c r="D68" s="195" t="s">
        <v>839</v>
      </c>
      <c r="E68" s="204" t="s">
        <v>869</v>
      </c>
      <c r="F68" s="375" t="s">
        <v>870</v>
      </c>
      <c r="G68" s="375"/>
      <c r="H68" s="375"/>
      <c r="I68" s="375"/>
      <c r="J68" s="196" t="s">
        <v>697</v>
      </c>
      <c r="K68" s="197">
        <v>10</v>
      </c>
      <c r="L68" s="376">
        <v>0</v>
      </c>
      <c r="M68" s="376"/>
      <c r="N68" s="376">
        <f t="shared" si="0"/>
        <v>0</v>
      </c>
      <c r="O68" s="376"/>
      <c r="P68" s="376"/>
      <c r="Q68" s="376"/>
      <c r="R68" s="198"/>
      <c r="T68" s="199"/>
      <c r="U68" s="200" t="s">
        <v>852</v>
      </c>
      <c r="V68" s="201">
        <v>0.042</v>
      </c>
      <c r="W68" s="201">
        <f>V68*K68</f>
        <v>0.42</v>
      </c>
      <c r="X68" s="201">
        <v>0</v>
      </c>
      <c r="Y68" s="201">
        <f>X68*K68</f>
        <v>0</v>
      </c>
      <c r="Z68" s="201">
        <v>0</v>
      </c>
      <c r="AA68" s="202">
        <f>Z68*K68</f>
        <v>0</v>
      </c>
      <c r="AR68" s="137" t="s">
        <v>272</v>
      </c>
      <c r="AT68" s="137" t="s">
        <v>839</v>
      </c>
      <c r="AU68" s="137" t="s">
        <v>177</v>
      </c>
      <c r="AY68" s="137" t="s">
        <v>837</v>
      </c>
      <c r="BE68" s="203">
        <f>IF(U68="základní",N68,0)</f>
        <v>0</v>
      </c>
      <c r="BF68" s="203">
        <f>IF(U68="snížená",N68,0)</f>
        <v>0</v>
      </c>
      <c r="BG68" s="203">
        <f>IF(U68="zákl. přenesená",N68,0)</f>
        <v>0</v>
      </c>
      <c r="BH68" s="203">
        <f>IF(U68="sníž. přenesená",N68,0)</f>
        <v>0</v>
      </c>
      <c r="BI68" s="203">
        <f>IF(U68="nulová",N68,0)</f>
        <v>0</v>
      </c>
      <c r="BJ68" s="137" t="s">
        <v>163</v>
      </c>
      <c r="BK68" s="203">
        <f>ROUND(L68*K68,2)</f>
        <v>0</v>
      </c>
      <c r="BL68" s="137" t="s">
        <v>272</v>
      </c>
      <c r="BM68" s="137" t="s">
        <v>871</v>
      </c>
    </row>
    <row r="69" spans="2:63" s="176" customFormat="1" ht="29.25" customHeight="1">
      <c r="B69" s="177"/>
      <c r="D69" s="186" t="s">
        <v>809</v>
      </c>
      <c r="E69" s="186"/>
      <c r="F69" s="186"/>
      <c r="G69" s="186"/>
      <c r="H69" s="186"/>
      <c r="I69" s="186"/>
      <c r="J69" s="186"/>
      <c r="K69" s="186"/>
      <c r="L69" s="186"/>
      <c r="M69" s="186"/>
      <c r="N69" s="377">
        <f>N70+N71+N72+N73+N74+N75+N76++N77+N78+N79+N80+N81+N82+N83+N84</f>
        <v>0</v>
      </c>
      <c r="O69" s="377"/>
      <c r="P69" s="377"/>
      <c r="Q69" s="377"/>
      <c r="R69" s="179"/>
      <c r="T69" s="180"/>
      <c r="W69" s="181">
        <f>SUM(W70:W84)</f>
        <v>7.12</v>
      </c>
      <c r="Y69" s="181">
        <f>SUM(Y70:Y84)</f>
        <v>0.00189</v>
      </c>
      <c r="AA69" s="182">
        <f>SUM(AA70:AA84)</f>
        <v>0</v>
      </c>
      <c r="AR69" s="183" t="s">
        <v>177</v>
      </c>
      <c r="AT69" s="184" t="s">
        <v>835</v>
      </c>
      <c r="AU69" s="184" t="s">
        <v>163</v>
      </c>
      <c r="AY69" s="183" t="s">
        <v>837</v>
      </c>
      <c r="BK69" s="185">
        <f>SUM(BK70:BK84)</f>
        <v>0</v>
      </c>
    </row>
    <row r="70" spans="2:65" s="138" customFormat="1" ht="28.5" customHeight="1">
      <c r="B70" s="194"/>
      <c r="C70" s="195">
        <v>15</v>
      </c>
      <c r="D70" s="195" t="s">
        <v>839</v>
      </c>
      <c r="E70" s="204" t="s">
        <v>872</v>
      </c>
      <c r="F70" s="375" t="s">
        <v>873</v>
      </c>
      <c r="G70" s="375"/>
      <c r="H70" s="375"/>
      <c r="I70" s="375"/>
      <c r="J70" s="196" t="s">
        <v>243</v>
      </c>
      <c r="K70" s="197">
        <v>30</v>
      </c>
      <c r="L70" s="376">
        <v>0</v>
      </c>
      <c r="M70" s="376"/>
      <c r="N70" s="376">
        <f aca="true" t="shared" si="1" ref="N70:N84">ROUND(L70*K70,2)</f>
        <v>0</v>
      </c>
      <c r="O70" s="376"/>
      <c r="P70" s="376"/>
      <c r="Q70" s="376"/>
      <c r="R70" s="198"/>
      <c r="T70" s="199"/>
      <c r="U70" s="200" t="s">
        <v>852</v>
      </c>
      <c r="V70" s="201">
        <v>0.096</v>
      </c>
      <c r="W70" s="201">
        <f>V70*K70</f>
        <v>2.88</v>
      </c>
      <c r="X70" s="201">
        <v>0</v>
      </c>
      <c r="Y70" s="201">
        <f>X70*K70</f>
        <v>0</v>
      </c>
      <c r="Z70" s="201">
        <v>0</v>
      </c>
      <c r="AA70" s="202">
        <f>Z70*K70</f>
        <v>0</v>
      </c>
      <c r="AR70" s="137" t="s">
        <v>272</v>
      </c>
      <c r="AT70" s="137" t="s">
        <v>839</v>
      </c>
      <c r="AU70" s="137" t="s">
        <v>177</v>
      </c>
      <c r="AY70" s="137" t="s">
        <v>837</v>
      </c>
      <c r="BE70" s="203">
        <f>IF(U70="základní",N70,0)</f>
        <v>0</v>
      </c>
      <c r="BF70" s="203">
        <f>IF(U70="snížená",N70,0)</f>
        <v>0</v>
      </c>
      <c r="BG70" s="203">
        <f>IF(U70="zákl. přenesená",N70,0)</f>
        <v>0</v>
      </c>
      <c r="BH70" s="203">
        <f>IF(U70="sníž. přenesená",N70,0)</f>
        <v>0</v>
      </c>
      <c r="BI70" s="203">
        <f>IF(U70="nulová",N70,0)</f>
        <v>0</v>
      </c>
      <c r="BJ70" s="137" t="s">
        <v>163</v>
      </c>
      <c r="BK70" s="203">
        <f>ROUND(L70*K70,2)</f>
        <v>0</v>
      </c>
      <c r="BL70" s="137" t="s">
        <v>272</v>
      </c>
      <c r="BM70" s="137" t="s">
        <v>874</v>
      </c>
    </row>
    <row r="71" spans="2:65" s="138" customFormat="1" ht="28.5" customHeight="1">
      <c r="B71" s="194"/>
      <c r="C71" s="205">
        <v>16</v>
      </c>
      <c r="D71" s="205" t="s">
        <v>856</v>
      </c>
      <c r="E71" s="206" t="s">
        <v>875</v>
      </c>
      <c r="F71" s="378" t="s">
        <v>876</v>
      </c>
      <c r="G71" s="378"/>
      <c r="H71" s="378"/>
      <c r="I71" s="378"/>
      <c r="J71" s="207" t="s">
        <v>243</v>
      </c>
      <c r="K71" s="208">
        <v>30</v>
      </c>
      <c r="L71" s="379">
        <v>0</v>
      </c>
      <c r="M71" s="379"/>
      <c r="N71" s="379">
        <f t="shared" si="1"/>
        <v>0</v>
      </c>
      <c r="O71" s="379"/>
      <c r="P71" s="379"/>
      <c r="Q71" s="379"/>
      <c r="R71" s="198"/>
      <c r="T71" s="199"/>
      <c r="U71" s="200" t="s">
        <v>852</v>
      </c>
      <c r="V71" s="201">
        <v>0</v>
      </c>
      <c r="W71" s="201">
        <f>V71*K71</f>
        <v>0</v>
      </c>
      <c r="X71" s="201">
        <v>6.3E-05</v>
      </c>
      <c r="Y71" s="201">
        <f>X71*K71</f>
        <v>0.00189</v>
      </c>
      <c r="Z71" s="201">
        <v>0</v>
      </c>
      <c r="AA71" s="202">
        <f>Z71*K71</f>
        <v>0</v>
      </c>
      <c r="AR71" s="137" t="s">
        <v>354</v>
      </c>
      <c r="AT71" s="137" t="s">
        <v>856</v>
      </c>
      <c r="AU71" s="137" t="s">
        <v>177</v>
      </c>
      <c r="AY71" s="137" t="s">
        <v>837</v>
      </c>
      <c r="BE71" s="203">
        <f>IF(U71="základní",N71,0)</f>
        <v>0</v>
      </c>
      <c r="BF71" s="203">
        <f>IF(U71="snížená",N71,0)</f>
        <v>0</v>
      </c>
      <c r="BG71" s="203">
        <f>IF(U71="zákl. přenesená",N71,0)</f>
        <v>0</v>
      </c>
      <c r="BH71" s="203">
        <f>IF(U71="sníž. přenesená",N71,0)</f>
        <v>0</v>
      </c>
      <c r="BI71" s="203">
        <f>IF(U71="nulová",N71,0)</f>
        <v>0</v>
      </c>
      <c r="BJ71" s="137" t="s">
        <v>163</v>
      </c>
      <c r="BK71" s="203">
        <f>ROUND(L71*K71,2)</f>
        <v>0</v>
      </c>
      <c r="BL71" s="137" t="s">
        <v>272</v>
      </c>
      <c r="BM71" s="137" t="s">
        <v>877</v>
      </c>
    </row>
    <row r="72" spans="2:65" s="138" customFormat="1" ht="28.5" customHeight="1">
      <c r="B72" s="194"/>
      <c r="C72" s="195">
        <v>17</v>
      </c>
      <c r="D72" s="195" t="s">
        <v>839</v>
      </c>
      <c r="E72" s="204" t="s">
        <v>878</v>
      </c>
      <c r="F72" s="375" t="s">
        <v>879</v>
      </c>
      <c r="G72" s="375"/>
      <c r="H72" s="375"/>
      <c r="I72" s="375"/>
      <c r="J72" s="196" t="s">
        <v>243</v>
      </c>
      <c r="K72" s="197">
        <v>40</v>
      </c>
      <c r="L72" s="376">
        <v>0</v>
      </c>
      <c r="M72" s="376"/>
      <c r="N72" s="376">
        <f t="shared" si="1"/>
        <v>0</v>
      </c>
      <c r="O72" s="376"/>
      <c r="P72" s="376"/>
      <c r="Q72" s="376"/>
      <c r="R72" s="198"/>
      <c r="T72" s="199"/>
      <c r="U72" s="200" t="s">
        <v>852</v>
      </c>
      <c r="V72" s="201">
        <v>0.106</v>
      </c>
      <c r="W72" s="201">
        <f>V72*K72</f>
        <v>4.24</v>
      </c>
      <c r="X72" s="201">
        <v>0</v>
      </c>
      <c r="Y72" s="201">
        <f>X72*K72</f>
        <v>0</v>
      </c>
      <c r="Z72" s="201">
        <v>0</v>
      </c>
      <c r="AA72" s="202">
        <f>Z72*K72</f>
        <v>0</v>
      </c>
      <c r="AR72" s="137" t="s">
        <v>272</v>
      </c>
      <c r="AT72" s="137" t="s">
        <v>839</v>
      </c>
      <c r="AU72" s="137" t="s">
        <v>177</v>
      </c>
      <c r="AY72" s="137" t="s">
        <v>837</v>
      </c>
      <c r="BE72" s="203">
        <f>IF(U72="základní",N72,0)</f>
        <v>0</v>
      </c>
      <c r="BF72" s="203">
        <f>IF(U72="snížená",N72,0)</f>
        <v>0</v>
      </c>
      <c r="BG72" s="203">
        <f>IF(U72="zákl. přenesená",N72,0)</f>
        <v>0</v>
      </c>
      <c r="BH72" s="203">
        <f>IF(U72="sníž. přenesená",N72,0)</f>
        <v>0</v>
      </c>
      <c r="BI72" s="203">
        <f>IF(U72="nulová",N72,0)</f>
        <v>0</v>
      </c>
      <c r="BJ72" s="137" t="s">
        <v>163</v>
      </c>
      <c r="BK72" s="203">
        <f>ROUND(L72*K72,2)</f>
        <v>0</v>
      </c>
      <c r="BL72" s="137" t="s">
        <v>272</v>
      </c>
      <c r="BM72" s="137" t="s">
        <v>880</v>
      </c>
    </row>
    <row r="73" spans="2:65" s="138" customFormat="1" ht="28.5" customHeight="1">
      <c r="B73" s="194"/>
      <c r="C73" s="205">
        <v>18</v>
      </c>
      <c r="D73" s="205" t="s">
        <v>856</v>
      </c>
      <c r="E73" s="206" t="s">
        <v>881</v>
      </c>
      <c r="F73" s="378" t="s">
        <v>882</v>
      </c>
      <c r="G73" s="378"/>
      <c r="H73" s="378"/>
      <c r="I73" s="378"/>
      <c r="J73" s="207" t="s">
        <v>243</v>
      </c>
      <c r="K73" s="208">
        <v>40</v>
      </c>
      <c r="L73" s="379">
        <v>0</v>
      </c>
      <c r="M73" s="379"/>
      <c r="N73" s="379">
        <f t="shared" si="1"/>
        <v>0</v>
      </c>
      <c r="O73" s="379"/>
      <c r="P73" s="379"/>
      <c r="Q73" s="379"/>
      <c r="R73" s="198"/>
      <c r="T73" s="199"/>
      <c r="U73" s="200"/>
      <c r="V73" s="201"/>
      <c r="W73" s="201"/>
      <c r="X73" s="201"/>
      <c r="Y73" s="201"/>
      <c r="Z73" s="201"/>
      <c r="AA73" s="202"/>
      <c r="AR73" s="137"/>
      <c r="AT73" s="137"/>
      <c r="AU73" s="137"/>
      <c r="AY73" s="137"/>
      <c r="BE73" s="203"/>
      <c r="BF73" s="203"/>
      <c r="BG73" s="203"/>
      <c r="BH73" s="203"/>
      <c r="BI73" s="203"/>
      <c r="BJ73" s="137"/>
      <c r="BK73" s="203"/>
      <c r="BL73" s="137"/>
      <c r="BM73" s="137"/>
    </row>
    <row r="74" spans="2:65" s="138" customFormat="1" ht="28.5" customHeight="1">
      <c r="B74" s="194"/>
      <c r="C74" s="195">
        <v>19</v>
      </c>
      <c r="D74" s="195" t="s">
        <v>839</v>
      </c>
      <c r="E74" s="188" t="s">
        <v>883</v>
      </c>
      <c r="F74" s="373" t="s">
        <v>884</v>
      </c>
      <c r="G74" s="373"/>
      <c r="H74" s="373"/>
      <c r="I74" s="373"/>
      <c r="J74" s="196" t="s">
        <v>616</v>
      </c>
      <c r="K74" s="209">
        <f>K75+K76</f>
        <v>4</v>
      </c>
      <c r="L74" s="376">
        <v>0</v>
      </c>
      <c r="M74" s="376"/>
      <c r="N74" s="376">
        <f t="shared" si="1"/>
        <v>0</v>
      </c>
      <c r="O74" s="376"/>
      <c r="P74" s="376"/>
      <c r="Q74" s="376"/>
      <c r="R74" s="198"/>
      <c r="T74" s="199"/>
      <c r="U74" s="200"/>
      <c r="V74" s="201"/>
      <c r="W74" s="201"/>
      <c r="X74" s="201"/>
      <c r="Y74" s="201"/>
      <c r="Z74" s="201"/>
      <c r="AA74" s="202"/>
      <c r="AR74" s="137"/>
      <c r="AT74" s="137"/>
      <c r="AU74" s="137"/>
      <c r="AY74" s="137"/>
      <c r="BE74" s="203"/>
      <c r="BF74" s="203"/>
      <c r="BG74" s="203"/>
      <c r="BH74" s="203"/>
      <c r="BI74" s="203"/>
      <c r="BJ74" s="137"/>
      <c r="BK74" s="203"/>
      <c r="BL74" s="137"/>
      <c r="BM74" s="137"/>
    </row>
    <row r="75" spans="2:65" s="138" customFormat="1" ht="28.5" customHeight="1">
      <c r="B75" s="194"/>
      <c r="C75" s="205">
        <v>20</v>
      </c>
      <c r="D75" s="210" t="s">
        <v>856</v>
      </c>
      <c r="E75" s="211" t="s">
        <v>885</v>
      </c>
      <c r="F75" s="380" t="s">
        <v>886</v>
      </c>
      <c r="G75" s="380"/>
      <c r="H75" s="380"/>
      <c r="I75" s="380"/>
      <c r="J75" s="212" t="s">
        <v>207</v>
      </c>
      <c r="K75" s="208">
        <v>3</v>
      </c>
      <c r="L75" s="381">
        <v>0</v>
      </c>
      <c r="M75" s="381"/>
      <c r="N75" s="379">
        <f t="shared" si="1"/>
        <v>0</v>
      </c>
      <c r="O75" s="379"/>
      <c r="P75" s="379"/>
      <c r="Q75" s="379"/>
      <c r="R75" s="198"/>
      <c r="T75" s="199"/>
      <c r="U75" s="200"/>
      <c r="V75" s="201"/>
      <c r="W75" s="201"/>
      <c r="X75" s="201"/>
      <c r="Y75" s="201"/>
      <c r="Z75" s="201"/>
      <c r="AA75" s="202"/>
      <c r="AR75" s="137"/>
      <c r="AT75" s="137"/>
      <c r="AU75" s="137"/>
      <c r="AY75" s="137"/>
      <c r="BE75" s="203"/>
      <c r="BF75" s="203"/>
      <c r="BG75" s="203"/>
      <c r="BH75" s="203"/>
      <c r="BI75" s="203"/>
      <c r="BJ75" s="137"/>
      <c r="BK75" s="203"/>
      <c r="BL75" s="137"/>
      <c r="BM75" s="137"/>
    </row>
    <row r="76" spans="2:65" s="138" customFormat="1" ht="28.5" customHeight="1">
      <c r="B76" s="194"/>
      <c r="C76" s="205">
        <v>21</v>
      </c>
      <c r="D76" s="210" t="s">
        <v>856</v>
      </c>
      <c r="E76" s="211" t="s">
        <v>887</v>
      </c>
      <c r="F76" s="380" t="s">
        <v>888</v>
      </c>
      <c r="G76" s="380"/>
      <c r="H76" s="380"/>
      <c r="I76" s="380"/>
      <c r="J76" s="212" t="s">
        <v>207</v>
      </c>
      <c r="K76" s="208">
        <v>1</v>
      </c>
      <c r="L76" s="381">
        <v>0</v>
      </c>
      <c r="M76" s="381"/>
      <c r="N76" s="379">
        <f t="shared" si="1"/>
        <v>0</v>
      </c>
      <c r="O76" s="379"/>
      <c r="P76" s="379"/>
      <c r="Q76" s="379"/>
      <c r="R76" s="198"/>
      <c r="T76" s="199"/>
      <c r="U76" s="200"/>
      <c r="V76" s="201"/>
      <c r="W76" s="201"/>
      <c r="X76" s="201"/>
      <c r="Y76" s="201"/>
      <c r="Z76" s="201"/>
      <c r="AA76" s="202"/>
      <c r="AR76" s="137"/>
      <c r="AT76" s="137"/>
      <c r="AU76" s="137"/>
      <c r="AY76" s="137"/>
      <c r="BE76" s="203"/>
      <c r="BF76" s="203"/>
      <c r="BG76" s="203"/>
      <c r="BH76" s="203"/>
      <c r="BI76" s="203"/>
      <c r="BJ76" s="137"/>
      <c r="BK76" s="203"/>
      <c r="BL76" s="137"/>
      <c r="BM76" s="137"/>
    </row>
    <row r="77" spans="2:65" s="138" customFormat="1" ht="28.5" customHeight="1">
      <c r="B77" s="194"/>
      <c r="C77" s="195">
        <v>22</v>
      </c>
      <c r="D77" s="195" t="s">
        <v>839</v>
      </c>
      <c r="E77" s="188" t="s">
        <v>889</v>
      </c>
      <c r="F77" s="373" t="s">
        <v>890</v>
      </c>
      <c r="G77" s="373"/>
      <c r="H77" s="373"/>
      <c r="I77" s="373"/>
      <c r="J77" s="189" t="s">
        <v>207</v>
      </c>
      <c r="K77" s="197">
        <v>3</v>
      </c>
      <c r="L77" s="374">
        <v>0</v>
      </c>
      <c r="M77" s="374"/>
      <c r="N77" s="376">
        <f t="shared" si="1"/>
        <v>0</v>
      </c>
      <c r="O77" s="376"/>
      <c r="P77" s="376"/>
      <c r="Q77" s="376"/>
      <c r="R77" s="198"/>
      <c r="T77" s="199"/>
      <c r="U77" s="200"/>
      <c r="V77" s="201"/>
      <c r="W77" s="201"/>
      <c r="X77" s="201"/>
      <c r="Y77" s="201"/>
      <c r="Z77" s="201"/>
      <c r="AA77" s="202"/>
      <c r="AR77" s="137"/>
      <c r="AT77" s="137"/>
      <c r="AU77" s="137"/>
      <c r="AY77" s="137"/>
      <c r="BE77" s="203"/>
      <c r="BF77" s="203"/>
      <c r="BG77" s="203"/>
      <c r="BH77" s="203"/>
      <c r="BI77" s="203"/>
      <c r="BJ77" s="137"/>
      <c r="BK77" s="203"/>
      <c r="BL77" s="137"/>
      <c r="BM77" s="137"/>
    </row>
    <row r="78" spans="2:65" s="138" customFormat="1" ht="28.5" customHeight="1">
      <c r="B78" s="194"/>
      <c r="C78" s="205">
        <v>23</v>
      </c>
      <c r="D78" s="205" t="s">
        <v>856</v>
      </c>
      <c r="E78" s="211" t="s">
        <v>891</v>
      </c>
      <c r="F78" s="380" t="s">
        <v>892</v>
      </c>
      <c r="G78" s="380"/>
      <c r="H78" s="380"/>
      <c r="I78" s="380"/>
      <c r="J78" s="212" t="s">
        <v>207</v>
      </c>
      <c r="K78" s="208">
        <v>3</v>
      </c>
      <c r="L78" s="381">
        <v>0</v>
      </c>
      <c r="M78" s="381"/>
      <c r="N78" s="379">
        <f t="shared" si="1"/>
        <v>0</v>
      </c>
      <c r="O78" s="379"/>
      <c r="P78" s="379"/>
      <c r="Q78" s="379"/>
      <c r="R78" s="198"/>
      <c r="T78" s="199"/>
      <c r="U78" s="200"/>
      <c r="V78" s="201"/>
      <c r="W78" s="201"/>
      <c r="X78" s="201"/>
      <c r="Y78" s="201"/>
      <c r="Z78" s="201"/>
      <c r="AA78" s="202"/>
      <c r="AR78" s="137"/>
      <c r="AT78" s="137"/>
      <c r="AU78" s="137"/>
      <c r="AY78" s="137"/>
      <c r="BE78" s="203"/>
      <c r="BF78" s="203"/>
      <c r="BG78" s="203"/>
      <c r="BH78" s="203"/>
      <c r="BI78" s="203"/>
      <c r="BJ78" s="137"/>
      <c r="BK78" s="203"/>
      <c r="BL78" s="137"/>
      <c r="BM78" s="137"/>
    </row>
    <row r="79" spans="2:65" s="138" customFormat="1" ht="28.5" customHeight="1">
      <c r="B79" s="194"/>
      <c r="C79" s="195">
        <v>24</v>
      </c>
      <c r="D79" s="195" t="s">
        <v>839</v>
      </c>
      <c r="E79" s="188" t="s">
        <v>893</v>
      </c>
      <c r="F79" s="373" t="s">
        <v>894</v>
      </c>
      <c r="G79" s="373"/>
      <c r="H79" s="373"/>
      <c r="I79" s="373"/>
      <c r="J79" s="196" t="s">
        <v>243</v>
      </c>
      <c r="K79" s="190">
        <v>40</v>
      </c>
      <c r="L79" s="374">
        <v>0</v>
      </c>
      <c r="M79" s="374"/>
      <c r="N79" s="376">
        <f t="shared" si="1"/>
        <v>0</v>
      </c>
      <c r="O79" s="376"/>
      <c r="P79" s="376"/>
      <c r="Q79" s="376"/>
      <c r="R79" s="198"/>
      <c r="T79" s="199"/>
      <c r="U79" s="200"/>
      <c r="V79" s="201"/>
      <c r="W79" s="201"/>
      <c r="X79" s="201"/>
      <c r="Y79" s="201"/>
      <c r="Z79" s="201"/>
      <c r="AA79" s="202"/>
      <c r="AR79" s="137"/>
      <c r="AT79" s="137"/>
      <c r="AU79" s="137"/>
      <c r="AY79" s="137"/>
      <c r="BE79" s="203"/>
      <c r="BF79" s="203"/>
      <c r="BG79" s="203"/>
      <c r="BH79" s="203"/>
      <c r="BI79" s="203"/>
      <c r="BJ79" s="137"/>
      <c r="BK79" s="203"/>
      <c r="BL79" s="137"/>
      <c r="BM79" s="137"/>
    </row>
    <row r="80" spans="2:65" s="138" customFormat="1" ht="28.5" customHeight="1">
      <c r="B80" s="194"/>
      <c r="C80" s="205">
        <v>25</v>
      </c>
      <c r="D80" s="205" t="s">
        <v>856</v>
      </c>
      <c r="E80" s="211" t="s">
        <v>895</v>
      </c>
      <c r="F80" s="380" t="s">
        <v>896</v>
      </c>
      <c r="G80" s="380"/>
      <c r="H80" s="380"/>
      <c r="I80" s="380"/>
      <c r="J80" s="207" t="s">
        <v>243</v>
      </c>
      <c r="K80" s="213">
        <v>40</v>
      </c>
      <c r="L80" s="381">
        <v>0</v>
      </c>
      <c r="M80" s="381"/>
      <c r="N80" s="379">
        <f t="shared" si="1"/>
        <v>0</v>
      </c>
      <c r="O80" s="379"/>
      <c r="P80" s="379"/>
      <c r="Q80" s="379"/>
      <c r="R80" s="198"/>
      <c r="T80" s="199"/>
      <c r="U80" s="200"/>
      <c r="V80" s="201"/>
      <c r="W80" s="201"/>
      <c r="X80" s="201"/>
      <c r="Y80" s="201"/>
      <c r="Z80" s="201"/>
      <c r="AA80" s="202"/>
      <c r="AR80" s="137"/>
      <c r="AT80" s="137"/>
      <c r="AU80" s="137"/>
      <c r="AY80" s="137"/>
      <c r="BE80" s="203"/>
      <c r="BF80" s="203"/>
      <c r="BG80" s="203"/>
      <c r="BH80" s="203"/>
      <c r="BI80" s="203"/>
      <c r="BJ80" s="137"/>
      <c r="BK80" s="203"/>
      <c r="BL80" s="137"/>
      <c r="BM80" s="137"/>
    </row>
    <row r="81" spans="2:65" s="138" customFormat="1" ht="28.5" customHeight="1">
      <c r="B81" s="194"/>
      <c r="C81" s="195">
        <v>26</v>
      </c>
      <c r="D81" s="195" t="s">
        <v>839</v>
      </c>
      <c r="E81" s="188" t="s">
        <v>897</v>
      </c>
      <c r="F81" s="373" t="s">
        <v>898</v>
      </c>
      <c r="G81" s="373"/>
      <c r="H81" s="373"/>
      <c r="I81" s="373"/>
      <c r="J81" s="196" t="s">
        <v>243</v>
      </c>
      <c r="K81" s="190">
        <v>14</v>
      </c>
      <c r="L81" s="374">
        <v>0</v>
      </c>
      <c r="M81" s="374"/>
      <c r="N81" s="376">
        <f t="shared" si="1"/>
        <v>0</v>
      </c>
      <c r="O81" s="376"/>
      <c r="P81" s="376"/>
      <c r="Q81" s="376"/>
      <c r="R81" s="198"/>
      <c r="T81" s="199"/>
      <c r="U81" s="200"/>
      <c r="V81" s="201"/>
      <c r="W81" s="201"/>
      <c r="X81" s="201"/>
      <c r="Y81" s="201"/>
      <c r="Z81" s="201"/>
      <c r="AA81" s="202"/>
      <c r="AR81" s="137"/>
      <c r="AT81" s="137"/>
      <c r="AU81" s="137"/>
      <c r="AY81" s="137"/>
      <c r="BE81" s="203"/>
      <c r="BF81" s="203"/>
      <c r="BG81" s="203"/>
      <c r="BH81" s="203"/>
      <c r="BI81" s="203"/>
      <c r="BJ81" s="137"/>
      <c r="BK81" s="203"/>
      <c r="BL81" s="137"/>
      <c r="BM81" s="137"/>
    </row>
    <row r="82" spans="2:65" s="138" customFormat="1" ht="28.5" customHeight="1">
      <c r="B82" s="194"/>
      <c r="C82" s="205">
        <v>27</v>
      </c>
      <c r="D82" s="205" t="s">
        <v>856</v>
      </c>
      <c r="E82" s="211" t="s">
        <v>899</v>
      </c>
      <c r="F82" s="380" t="s">
        <v>900</v>
      </c>
      <c r="G82" s="380"/>
      <c r="H82" s="380"/>
      <c r="I82" s="380"/>
      <c r="J82" s="207" t="s">
        <v>243</v>
      </c>
      <c r="K82" s="213">
        <v>14</v>
      </c>
      <c r="L82" s="381">
        <v>0</v>
      </c>
      <c r="M82" s="381"/>
      <c r="N82" s="379">
        <f t="shared" si="1"/>
        <v>0</v>
      </c>
      <c r="O82" s="379"/>
      <c r="P82" s="379"/>
      <c r="Q82" s="379"/>
      <c r="R82" s="198"/>
      <c r="T82" s="199"/>
      <c r="U82" s="200"/>
      <c r="V82" s="201"/>
      <c r="W82" s="201"/>
      <c r="X82" s="201"/>
      <c r="Y82" s="201"/>
      <c r="Z82" s="201"/>
      <c r="AA82" s="202"/>
      <c r="AR82" s="137"/>
      <c r="AT82" s="137"/>
      <c r="AU82" s="137"/>
      <c r="AY82" s="137"/>
      <c r="BE82" s="203"/>
      <c r="BF82" s="203"/>
      <c r="BG82" s="203"/>
      <c r="BH82" s="203"/>
      <c r="BI82" s="203"/>
      <c r="BJ82" s="137"/>
      <c r="BK82" s="203"/>
      <c r="BL82" s="137"/>
      <c r="BM82" s="137"/>
    </row>
    <row r="83" spans="2:65" s="138" customFormat="1" ht="28.5" customHeight="1">
      <c r="B83" s="194"/>
      <c r="C83" s="195">
        <v>28</v>
      </c>
      <c r="D83" s="195" t="s">
        <v>839</v>
      </c>
      <c r="E83" s="204" t="s">
        <v>901</v>
      </c>
      <c r="F83" s="375" t="s">
        <v>902</v>
      </c>
      <c r="G83" s="375"/>
      <c r="H83" s="375"/>
      <c r="I83" s="375"/>
      <c r="J83" s="196" t="s">
        <v>243</v>
      </c>
      <c r="K83" s="197">
        <v>5</v>
      </c>
      <c r="L83" s="376">
        <v>0</v>
      </c>
      <c r="M83" s="376"/>
      <c r="N83" s="376">
        <f t="shared" si="1"/>
        <v>0</v>
      </c>
      <c r="O83" s="376"/>
      <c r="P83" s="376"/>
      <c r="Q83" s="376"/>
      <c r="R83" s="198"/>
      <c r="T83" s="199"/>
      <c r="U83" s="200"/>
      <c r="V83" s="201"/>
      <c r="W83" s="201"/>
      <c r="X83" s="201"/>
      <c r="Y83" s="201"/>
      <c r="Z83" s="201"/>
      <c r="AA83" s="202"/>
      <c r="AR83" s="137"/>
      <c r="AT83" s="137"/>
      <c r="AU83" s="137"/>
      <c r="AY83" s="137"/>
      <c r="BE83" s="203"/>
      <c r="BF83" s="203"/>
      <c r="BG83" s="203"/>
      <c r="BH83" s="203"/>
      <c r="BI83" s="203"/>
      <c r="BJ83" s="137"/>
      <c r="BK83" s="203"/>
      <c r="BL83" s="137"/>
      <c r="BM83" s="137"/>
    </row>
    <row r="84" spans="2:65" s="138" customFormat="1" ht="28.5" customHeight="1">
      <c r="B84" s="194"/>
      <c r="C84" s="205">
        <v>29</v>
      </c>
      <c r="D84" s="205" t="s">
        <v>856</v>
      </c>
      <c r="E84" s="206" t="s">
        <v>903</v>
      </c>
      <c r="F84" s="378" t="s">
        <v>902</v>
      </c>
      <c r="G84" s="378"/>
      <c r="H84" s="378"/>
      <c r="I84" s="378"/>
      <c r="J84" s="207" t="s">
        <v>243</v>
      </c>
      <c r="K84" s="208">
        <v>5</v>
      </c>
      <c r="L84" s="379">
        <v>0</v>
      </c>
      <c r="M84" s="379"/>
      <c r="N84" s="379">
        <f t="shared" si="1"/>
        <v>0</v>
      </c>
      <c r="O84" s="379"/>
      <c r="P84" s="379"/>
      <c r="Q84" s="379"/>
      <c r="R84" s="198"/>
      <c r="T84" s="199"/>
      <c r="U84" s="200"/>
      <c r="V84" s="201"/>
      <c r="W84" s="201"/>
      <c r="X84" s="201"/>
      <c r="Y84" s="201"/>
      <c r="Z84" s="201"/>
      <c r="AA84" s="202"/>
      <c r="AR84" s="137"/>
      <c r="AT84" s="137"/>
      <c r="AU84" s="137"/>
      <c r="AY84" s="137"/>
      <c r="BE84" s="203"/>
      <c r="BF84" s="203"/>
      <c r="BG84" s="203"/>
      <c r="BH84" s="203"/>
      <c r="BI84" s="203"/>
      <c r="BJ84" s="137"/>
      <c r="BK84" s="203"/>
      <c r="BL84" s="137"/>
      <c r="BM84" s="137"/>
    </row>
    <row r="85" spans="2:63" s="176" customFormat="1" ht="29.25" customHeight="1">
      <c r="B85" s="177"/>
      <c r="D85" s="186" t="s">
        <v>810</v>
      </c>
      <c r="E85" s="186"/>
      <c r="F85" s="186"/>
      <c r="G85" s="186"/>
      <c r="H85" s="186"/>
      <c r="I85" s="186"/>
      <c r="J85" s="186"/>
      <c r="K85" s="186"/>
      <c r="L85" s="186"/>
      <c r="M85" s="186"/>
      <c r="N85" s="377">
        <f>N86+N87+N89+N90+N91+N92+N93+N95+N96+N88+N97+N94+N98+N100</f>
        <v>0</v>
      </c>
      <c r="O85" s="377"/>
      <c r="P85" s="377"/>
      <c r="Q85" s="377"/>
      <c r="R85" s="179"/>
      <c r="T85" s="180"/>
      <c r="W85" s="181">
        <f>SUM(W86:W100)</f>
        <v>3.6</v>
      </c>
      <c r="Y85" s="181">
        <f>SUM(Y86:Y100)</f>
        <v>0.00128</v>
      </c>
      <c r="AA85" s="182">
        <f>SUM(AA86:AA100)</f>
        <v>0</v>
      </c>
      <c r="AR85" s="183" t="s">
        <v>177</v>
      </c>
      <c r="AT85" s="184" t="s">
        <v>835</v>
      </c>
      <c r="AU85" s="184" t="s">
        <v>163</v>
      </c>
      <c r="AY85" s="183" t="s">
        <v>837</v>
      </c>
      <c r="BK85" s="185">
        <f>SUM(BK86:BK100)</f>
        <v>0</v>
      </c>
    </row>
    <row r="86" spans="2:65" s="138" customFormat="1" ht="28.5" customHeight="1">
      <c r="B86" s="194"/>
      <c r="C86" s="195">
        <v>30</v>
      </c>
      <c r="D86" s="195" t="s">
        <v>839</v>
      </c>
      <c r="E86" s="188" t="s">
        <v>904</v>
      </c>
      <c r="F86" s="373" t="s">
        <v>905</v>
      </c>
      <c r="G86" s="373"/>
      <c r="H86" s="373"/>
      <c r="I86" s="373"/>
      <c r="J86" s="189" t="s">
        <v>243</v>
      </c>
      <c r="K86" s="190">
        <f>K87+K88</f>
        <v>40</v>
      </c>
      <c r="L86" s="374">
        <v>0</v>
      </c>
      <c r="M86" s="374"/>
      <c r="N86" s="376">
        <f aca="true" t="shared" si="2" ref="N86:N100">ROUND(L86*K86,2)</f>
        <v>0</v>
      </c>
      <c r="O86" s="376"/>
      <c r="P86" s="376"/>
      <c r="Q86" s="376"/>
      <c r="R86" s="198"/>
      <c r="T86" s="199"/>
      <c r="U86" s="200" t="s">
        <v>852</v>
      </c>
      <c r="V86" s="201">
        <v>0.09</v>
      </c>
      <c r="W86" s="201">
        <f>V86*K86</f>
        <v>3.6</v>
      </c>
      <c r="X86" s="201">
        <v>0</v>
      </c>
      <c r="Y86" s="201">
        <f>X86*K86</f>
        <v>0</v>
      </c>
      <c r="Z86" s="201">
        <v>0</v>
      </c>
      <c r="AA86" s="202">
        <f>Z86*K86</f>
        <v>0</v>
      </c>
      <c r="AR86" s="137" t="s">
        <v>272</v>
      </c>
      <c r="AT86" s="137" t="s">
        <v>839</v>
      </c>
      <c r="AU86" s="137" t="s">
        <v>177</v>
      </c>
      <c r="AY86" s="137" t="s">
        <v>837</v>
      </c>
      <c r="BE86" s="203">
        <f>IF(U86="základní",N86,0)</f>
        <v>0</v>
      </c>
      <c r="BF86" s="203">
        <f>IF(U86="snížená",N86,0)</f>
        <v>0</v>
      </c>
      <c r="BG86" s="203">
        <f>IF(U86="zákl. přenesená",N86,0)</f>
        <v>0</v>
      </c>
      <c r="BH86" s="203">
        <f>IF(U86="sníž. přenesená",N86,0)</f>
        <v>0</v>
      </c>
      <c r="BI86" s="203">
        <f>IF(U86="nulová",N86,0)</f>
        <v>0</v>
      </c>
      <c r="BJ86" s="137" t="s">
        <v>163</v>
      </c>
      <c r="BK86" s="203">
        <f>ROUND(L86*K86,2)</f>
        <v>0</v>
      </c>
      <c r="BL86" s="137" t="s">
        <v>272</v>
      </c>
      <c r="BM86" s="137" t="s">
        <v>906</v>
      </c>
    </row>
    <row r="87" spans="2:65" s="138" customFormat="1" ht="28.5" customHeight="1">
      <c r="B87" s="194"/>
      <c r="C87" s="205">
        <v>31</v>
      </c>
      <c r="D87" s="205" t="s">
        <v>856</v>
      </c>
      <c r="E87" s="211" t="s">
        <v>907</v>
      </c>
      <c r="F87" s="380" t="s">
        <v>908</v>
      </c>
      <c r="G87" s="380"/>
      <c r="H87" s="380"/>
      <c r="I87" s="380"/>
      <c r="J87" s="212" t="s">
        <v>243</v>
      </c>
      <c r="K87" s="213">
        <v>20</v>
      </c>
      <c r="L87" s="381">
        <v>0</v>
      </c>
      <c r="M87" s="381"/>
      <c r="N87" s="379">
        <f t="shared" si="2"/>
        <v>0</v>
      </c>
      <c r="O87" s="379"/>
      <c r="P87" s="379"/>
      <c r="Q87" s="379"/>
      <c r="R87" s="198"/>
      <c r="T87" s="199"/>
      <c r="U87" s="200" t="s">
        <v>852</v>
      </c>
      <c r="V87" s="201">
        <v>0</v>
      </c>
      <c r="W87" s="201">
        <f>V87*K87</f>
        <v>0</v>
      </c>
      <c r="X87" s="201">
        <v>6.4E-05</v>
      </c>
      <c r="Y87" s="201">
        <f>X87*K87</f>
        <v>0.00128</v>
      </c>
      <c r="Z87" s="201">
        <v>0</v>
      </c>
      <c r="AA87" s="202">
        <f>Z87*K87</f>
        <v>0</v>
      </c>
      <c r="AR87" s="137" t="s">
        <v>354</v>
      </c>
      <c r="AT87" s="137" t="s">
        <v>856</v>
      </c>
      <c r="AU87" s="137" t="s">
        <v>177</v>
      </c>
      <c r="AY87" s="137" t="s">
        <v>837</v>
      </c>
      <c r="BE87" s="203">
        <f>IF(U87="základní",N87,0)</f>
        <v>0</v>
      </c>
      <c r="BF87" s="203">
        <f>IF(U87="snížená",N87,0)</f>
        <v>0</v>
      </c>
      <c r="BG87" s="203">
        <f>IF(U87="zákl. přenesená",N87,0)</f>
        <v>0</v>
      </c>
      <c r="BH87" s="203">
        <f>IF(U87="sníž. přenesená",N87,0)</f>
        <v>0</v>
      </c>
      <c r="BI87" s="203">
        <f>IF(U87="nulová",N87,0)</f>
        <v>0</v>
      </c>
      <c r="BJ87" s="137" t="s">
        <v>163</v>
      </c>
      <c r="BK87" s="203">
        <f>ROUND(L87*K87,2)</f>
        <v>0</v>
      </c>
      <c r="BL87" s="137" t="s">
        <v>272</v>
      </c>
      <c r="BM87" s="137" t="s">
        <v>909</v>
      </c>
    </row>
    <row r="88" spans="2:65" s="138" customFormat="1" ht="28.5" customHeight="1">
      <c r="B88" s="194"/>
      <c r="C88" s="205">
        <v>32</v>
      </c>
      <c r="D88" s="205" t="s">
        <v>856</v>
      </c>
      <c r="E88" s="211" t="s">
        <v>910</v>
      </c>
      <c r="F88" s="380" t="s">
        <v>911</v>
      </c>
      <c r="G88" s="380"/>
      <c r="H88" s="380"/>
      <c r="I88" s="380"/>
      <c r="J88" s="212" t="s">
        <v>243</v>
      </c>
      <c r="K88" s="213">
        <v>20</v>
      </c>
      <c r="L88" s="381">
        <v>0</v>
      </c>
      <c r="M88" s="381"/>
      <c r="N88" s="379">
        <f t="shared" si="2"/>
        <v>0</v>
      </c>
      <c r="O88" s="379"/>
      <c r="P88" s="379"/>
      <c r="Q88" s="379"/>
      <c r="R88" s="198"/>
      <c r="T88" s="199"/>
      <c r="U88" s="200"/>
      <c r="V88" s="201"/>
      <c r="W88" s="201"/>
      <c r="X88" s="201"/>
      <c r="Y88" s="201"/>
      <c r="Z88" s="201"/>
      <c r="AA88" s="202"/>
      <c r="AR88" s="137"/>
      <c r="AT88" s="137"/>
      <c r="AU88" s="137"/>
      <c r="AY88" s="137"/>
      <c r="BE88" s="203"/>
      <c r="BF88" s="203"/>
      <c r="BG88" s="203"/>
      <c r="BH88" s="203"/>
      <c r="BI88" s="203"/>
      <c r="BJ88" s="137"/>
      <c r="BK88" s="203"/>
      <c r="BL88" s="137"/>
      <c r="BM88" s="137"/>
    </row>
    <row r="89" spans="2:65" s="138" customFormat="1" ht="28.5" customHeight="1">
      <c r="B89" s="194"/>
      <c r="C89" s="187">
        <v>33</v>
      </c>
      <c r="D89" s="187" t="s">
        <v>839</v>
      </c>
      <c r="E89" s="188" t="s">
        <v>912</v>
      </c>
      <c r="F89" s="373" t="s">
        <v>913</v>
      </c>
      <c r="G89" s="373"/>
      <c r="H89" s="373"/>
      <c r="I89" s="373"/>
      <c r="J89" s="189" t="s">
        <v>243</v>
      </c>
      <c r="K89" s="190">
        <v>10</v>
      </c>
      <c r="L89" s="374">
        <v>0</v>
      </c>
      <c r="M89" s="374"/>
      <c r="N89" s="374">
        <f t="shared" si="2"/>
        <v>0</v>
      </c>
      <c r="O89" s="374"/>
      <c r="P89" s="374"/>
      <c r="Q89" s="374"/>
      <c r="R89" s="198"/>
      <c r="T89" s="199"/>
      <c r="U89" s="200"/>
      <c r="V89" s="201"/>
      <c r="W89" s="201"/>
      <c r="X89" s="201"/>
      <c r="Y89" s="201"/>
      <c r="Z89" s="201"/>
      <c r="AA89" s="202"/>
      <c r="AR89" s="137"/>
      <c r="AT89" s="137"/>
      <c r="AU89" s="137"/>
      <c r="AY89" s="137"/>
      <c r="BE89" s="203"/>
      <c r="BF89" s="203"/>
      <c r="BG89" s="203"/>
      <c r="BH89" s="203"/>
      <c r="BI89" s="203"/>
      <c r="BJ89" s="137"/>
      <c r="BK89" s="203"/>
      <c r="BL89" s="137"/>
      <c r="BM89" s="137"/>
    </row>
    <row r="90" spans="2:65" s="138" customFormat="1" ht="28.5" customHeight="1">
      <c r="B90" s="194"/>
      <c r="C90" s="210">
        <v>34</v>
      </c>
      <c r="D90" s="210" t="s">
        <v>856</v>
      </c>
      <c r="E90" s="211" t="s">
        <v>914</v>
      </c>
      <c r="F90" s="380" t="s">
        <v>915</v>
      </c>
      <c r="G90" s="380"/>
      <c r="H90" s="380"/>
      <c r="I90" s="380"/>
      <c r="J90" s="212" t="s">
        <v>243</v>
      </c>
      <c r="K90" s="213">
        <v>10</v>
      </c>
      <c r="L90" s="381">
        <v>0</v>
      </c>
      <c r="M90" s="381"/>
      <c r="N90" s="381">
        <f t="shared" si="2"/>
        <v>0</v>
      </c>
      <c r="O90" s="381"/>
      <c r="P90" s="381"/>
      <c r="Q90" s="381"/>
      <c r="R90" s="198"/>
      <c r="T90" s="199"/>
      <c r="U90" s="200"/>
      <c r="V90" s="201"/>
      <c r="W90" s="201"/>
      <c r="X90" s="201"/>
      <c r="Y90" s="201"/>
      <c r="Z90" s="201"/>
      <c r="AA90" s="202"/>
      <c r="AR90" s="137"/>
      <c r="AT90" s="137"/>
      <c r="AU90" s="137"/>
      <c r="AY90" s="137"/>
      <c r="BE90" s="203"/>
      <c r="BF90" s="203"/>
      <c r="BG90" s="203"/>
      <c r="BH90" s="203"/>
      <c r="BI90" s="203"/>
      <c r="BJ90" s="137"/>
      <c r="BK90" s="203"/>
      <c r="BL90" s="137"/>
      <c r="BM90" s="137"/>
    </row>
    <row r="91" spans="2:65" s="138" customFormat="1" ht="28.5" customHeight="1">
      <c r="B91" s="194"/>
      <c r="C91" s="187">
        <v>35</v>
      </c>
      <c r="D91" s="187" t="s">
        <v>839</v>
      </c>
      <c r="E91" s="188" t="s">
        <v>916</v>
      </c>
      <c r="F91" s="373" t="s">
        <v>917</v>
      </c>
      <c r="G91" s="373"/>
      <c r="H91" s="373"/>
      <c r="I91" s="373"/>
      <c r="J91" s="189" t="s">
        <v>243</v>
      </c>
      <c r="K91" s="190">
        <f>K92+K93+K94</f>
        <v>210</v>
      </c>
      <c r="L91" s="374">
        <v>0</v>
      </c>
      <c r="M91" s="374"/>
      <c r="N91" s="374">
        <f t="shared" si="2"/>
        <v>0</v>
      </c>
      <c r="O91" s="374"/>
      <c r="P91" s="374"/>
      <c r="Q91" s="374"/>
      <c r="R91" s="198"/>
      <c r="T91" s="199"/>
      <c r="U91" s="200"/>
      <c r="V91" s="201"/>
      <c r="W91" s="201"/>
      <c r="X91" s="201"/>
      <c r="Y91" s="201"/>
      <c r="Z91" s="201"/>
      <c r="AA91" s="202"/>
      <c r="AR91" s="137"/>
      <c r="AT91" s="137"/>
      <c r="AU91" s="137"/>
      <c r="AY91" s="137"/>
      <c r="BE91" s="203"/>
      <c r="BF91" s="203"/>
      <c r="BG91" s="203"/>
      <c r="BH91" s="203"/>
      <c r="BI91" s="203"/>
      <c r="BJ91" s="137"/>
      <c r="BK91" s="203"/>
      <c r="BL91" s="137"/>
      <c r="BM91" s="137"/>
    </row>
    <row r="92" spans="2:65" s="138" customFormat="1" ht="28.5" customHeight="1">
      <c r="B92" s="194"/>
      <c r="C92" s="210">
        <v>36</v>
      </c>
      <c r="D92" s="210" t="s">
        <v>856</v>
      </c>
      <c r="E92" s="211" t="s">
        <v>918</v>
      </c>
      <c r="F92" s="380" t="s">
        <v>919</v>
      </c>
      <c r="G92" s="380"/>
      <c r="H92" s="380"/>
      <c r="I92" s="380"/>
      <c r="J92" s="212" t="s">
        <v>243</v>
      </c>
      <c r="K92" s="213">
        <v>160</v>
      </c>
      <c r="L92" s="381">
        <v>0</v>
      </c>
      <c r="M92" s="381"/>
      <c r="N92" s="381">
        <f t="shared" si="2"/>
        <v>0</v>
      </c>
      <c r="O92" s="381"/>
      <c r="P92" s="381"/>
      <c r="Q92" s="381"/>
      <c r="R92" s="198"/>
      <c r="T92" s="199"/>
      <c r="U92" s="200"/>
      <c r="V92" s="201"/>
      <c r="W92" s="201"/>
      <c r="X92" s="201"/>
      <c r="Y92" s="201"/>
      <c r="Z92" s="201"/>
      <c r="AA92" s="202"/>
      <c r="AR92" s="137"/>
      <c r="AT92" s="137"/>
      <c r="AU92" s="137"/>
      <c r="AY92" s="137"/>
      <c r="BE92" s="203"/>
      <c r="BF92" s="203"/>
      <c r="BG92" s="203"/>
      <c r="BH92" s="203"/>
      <c r="BI92" s="203"/>
      <c r="BJ92" s="137"/>
      <c r="BK92" s="203"/>
      <c r="BL92" s="137"/>
      <c r="BM92" s="137"/>
    </row>
    <row r="93" spans="2:65" s="138" customFormat="1" ht="28.5" customHeight="1">
      <c r="B93" s="194"/>
      <c r="C93" s="210">
        <v>37</v>
      </c>
      <c r="D93" s="210" t="s">
        <v>856</v>
      </c>
      <c r="E93" s="211" t="s">
        <v>920</v>
      </c>
      <c r="F93" s="380" t="s">
        <v>921</v>
      </c>
      <c r="G93" s="380"/>
      <c r="H93" s="380"/>
      <c r="I93" s="380"/>
      <c r="J93" s="212" t="s">
        <v>243</v>
      </c>
      <c r="K93" s="213">
        <v>20</v>
      </c>
      <c r="L93" s="381">
        <v>0</v>
      </c>
      <c r="M93" s="381"/>
      <c r="N93" s="381">
        <f t="shared" si="2"/>
        <v>0</v>
      </c>
      <c r="O93" s="381"/>
      <c r="P93" s="381"/>
      <c r="Q93" s="381"/>
      <c r="R93" s="198"/>
      <c r="T93" s="199"/>
      <c r="U93" s="200"/>
      <c r="V93" s="201"/>
      <c r="W93" s="201"/>
      <c r="X93" s="201"/>
      <c r="Y93" s="201"/>
      <c r="Z93" s="201"/>
      <c r="AA93" s="202"/>
      <c r="AR93" s="137"/>
      <c r="AT93" s="137"/>
      <c r="AU93" s="137"/>
      <c r="AY93" s="137"/>
      <c r="BE93" s="203"/>
      <c r="BF93" s="203"/>
      <c r="BG93" s="203"/>
      <c r="BH93" s="203"/>
      <c r="BI93" s="203"/>
      <c r="BJ93" s="137"/>
      <c r="BK93" s="203"/>
      <c r="BL93" s="137"/>
      <c r="BM93" s="137"/>
    </row>
    <row r="94" spans="2:65" s="138" customFormat="1" ht="28.5" customHeight="1">
      <c r="B94" s="194"/>
      <c r="C94" s="210">
        <v>38</v>
      </c>
      <c r="D94" s="210" t="s">
        <v>856</v>
      </c>
      <c r="E94" s="211" t="s">
        <v>920</v>
      </c>
      <c r="F94" s="380" t="s">
        <v>922</v>
      </c>
      <c r="G94" s="380"/>
      <c r="H94" s="380"/>
      <c r="I94" s="380"/>
      <c r="J94" s="212" t="s">
        <v>243</v>
      </c>
      <c r="K94" s="213">
        <v>30</v>
      </c>
      <c r="L94" s="381">
        <v>0</v>
      </c>
      <c r="M94" s="381"/>
      <c r="N94" s="381">
        <f t="shared" si="2"/>
        <v>0</v>
      </c>
      <c r="O94" s="381"/>
      <c r="P94" s="381"/>
      <c r="Q94" s="381"/>
      <c r="R94" s="198"/>
      <c r="T94" s="199"/>
      <c r="U94" s="200"/>
      <c r="V94" s="201"/>
      <c r="W94" s="201"/>
      <c r="X94" s="201"/>
      <c r="Y94" s="201"/>
      <c r="Z94" s="201"/>
      <c r="AA94" s="202"/>
      <c r="AR94" s="137"/>
      <c r="AT94" s="137"/>
      <c r="AU94" s="137"/>
      <c r="AY94" s="137"/>
      <c r="BE94" s="203"/>
      <c r="BF94" s="203"/>
      <c r="BG94" s="203"/>
      <c r="BH94" s="203"/>
      <c r="BI94" s="203"/>
      <c r="BJ94" s="137"/>
      <c r="BK94" s="203"/>
      <c r="BL94" s="137"/>
      <c r="BM94" s="137"/>
    </row>
    <row r="95" spans="2:65" s="138" customFormat="1" ht="28.5" customHeight="1">
      <c r="B95" s="194"/>
      <c r="C95" s="187">
        <v>39</v>
      </c>
      <c r="D95" s="187" t="s">
        <v>839</v>
      </c>
      <c r="E95" s="188" t="s">
        <v>923</v>
      </c>
      <c r="F95" s="373" t="s">
        <v>924</v>
      </c>
      <c r="G95" s="373"/>
      <c r="H95" s="373"/>
      <c r="I95" s="373"/>
      <c r="J95" s="189" t="s">
        <v>243</v>
      </c>
      <c r="K95" s="190">
        <f>K96</f>
        <v>10</v>
      </c>
      <c r="L95" s="374">
        <v>0</v>
      </c>
      <c r="M95" s="374"/>
      <c r="N95" s="374">
        <f t="shared" si="2"/>
        <v>0</v>
      </c>
      <c r="O95" s="374"/>
      <c r="P95" s="374"/>
      <c r="Q95" s="374"/>
      <c r="R95" s="198"/>
      <c r="T95" s="199"/>
      <c r="U95" s="200"/>
      <c r="V95" s="201"/>
      <c r="W95" s="201"/>
      <c r="X95" s="201"/>
      <c r="Y95" s="201"/>
      <c r="Z95" s="201"/>
      <c r="AA95" s="202"/>
      <c r="AR95" s="137"/>
      <c r="AT95" s="137"/>
      <c r="AU95" s="137"/>
      <c r="AY95" s="137"/>
      <c r="BE95" s="203"/>
      <c r="BF95" s="203"/>
      <c r="BG95" s="203"/>
      <c r="BH95" s="203"/>
      <c r="BI95" s="203"/>
      <c r="BJ95" s="137"/>
      <c r="BK95" s="203"/>
      <c r="BL95" s="137"/>
      <c r="BM95" s="137"/>
    </row>
    <row r="96" spans="2:65" s="138" customFormat="1" ht="28.5" customHeight="1">
      <c r="B96" s="194"/>
      <c r="C96" s="210">
        <v>40</v>
      </c>
      <c r="D96" s="210" t="s">
        <v>856</v>
      </c>
      <c r="E96" s="211" t="s">
        <v>925</v>
      </c>
      <c r="F96" s="380" t="s">
        <v>926</v>
      </c>
      <c r="G96" s="380"/>
      <c r="H96" s="380"/>
      <c r="I96" s="380"/>
      <c r="J96" s="212" t="s">
        <v>243</v>
      </c>
      <c r="K96" s="213">
        <v>10</v>
      </c>
      <c r="L96" s="381">
        <v>0</v>
      </c>
      <c r="M96" s="381"/>
      <c r="N96" s="381">
        <f t="shared" si="2"/>
        <v>0</v>
      </c>
      <c r="O96" s="381"/>
      <c r="P96" s="381"/>
      <c r="Q96" s="381"/>
      <c r="R96" s="198"/>
      <c r="T96" s="199"/>
      <c r="U96" s="200"/>
      <c r="V96" s="201"/>
      <c r="W96" s="201"/>
      <c r="X96" s="201"/>
      <c r="Y96" s="201"/>
      <c r="Z96" s="201"/>
      <c r="AA96" s="202"/>
      <c r="AR96" s="137"/>
      <c r="AT96" s="137"/>
      <c r="AU96" s="137"/>
      <c r="AY96" s="137"/>
      <c r="BE96" s="203"/>
      <c r="BF96" s="203"/>
      <c r="BG96" s="203"/>
      <c r="BH96" s="203"/>
      <c r="BI96" s="203"/>
      <c r="BJ96" s="137"/>
      <c r="BK96" s="203"/>
      <c r="BL96" s="137"/>
      <c r="BM96" s="137"/>
    </row>
    <row r="97" spans="2:65" s="138" customFormat="1" ht="28.5" customHeight="1">
      <c r="B97" s="194"/>
      <c r="C97" s="187">
        <v>41</v>
      </c>
      <c r="D97" s="187" t="s">
        <v>839</v>
      </c>
      <c r="E97" s="188" t="s">
        <v>927</v>
      </c>
      <c r="F97" s="373" t="s">
        <v>928</v>
      </c>
      <c r="G97" s="373"/>
      <c r="H97" s="373"/>
      <c r="I97" s="373"/>
      <c r="J97" s="189" t="s">
        <v>243</v>
      </c>
      <c r="K97" s="190">
        <f>K98+K100</f>
        <v>12</v>
      </c>
      <c r="L97" s="374">
        <v>0</v>
      </c>
      <c r="M97" s="374"/>
      <c r="N97" s="374">
        <f t="shared" si="2"/>
        <v>0</v>
      </c>
      <c r="O97" s="374"/>
      <c r="P97" s="374"/>
      <c r="Q97" s="374"/>
      <c r="R97" s="198"/>
      <c r="T97" s="199"/>
      <c r="U97" s="200"/>
      <c r="V97" s="201"/>
      <c r="W97" s="201"/>
      <c r="X97" s="201"/>
      <c r="Y97" s="201"/>
      <c r="Z97" s="201"/>
      <c r="AA97" s="202"/>
      <c r="AR97" s="137"/>
      <c r="AT97" s="137"/>
      <c r="AU97" s="137"/>
      <c r="AY97" s="137"/>
      <c r="BE97" s="203"/>
      <c r="BF97" s="203"/>
      <c r="BG97" s="203"/>
      <c r="BH97" s="203"/>
      <c r="BI97" s="203"/>
      <c r="BJ97" s="137"/>
      <c r="BK97" s="203"/>
      <c r="BL97" s="137"/>
      <c r="BM97" s="137"/>
    </row>
    <row r="98" spans="2:65" s="138" customFormat="1" ht="28.5" customHeight="1">
      <c r="B98" s="194"/>
      <c r="C98" s="210">
        <v>42</v>
      </c>
      <c r="D98" s="210" t="s">
        <v>856</v>
      </c>
      <c r="E98" s="211" t="s">
        <v>929</v>
      </c>
      <c r="F98" s="380" t="s">
        <v>930</v>
      </c>
      <c r="G98" s="380"/>
      <c r="H98" s="380"/>
      <c r="I98" s="380"/>
      <c r="J98" s="212" t="s">
        <v>243</v>
      </c>
      <c r="K98" s="213">
        <v>10</v>
      </c>
      <c r="L98" s="381">
        <v>0</v>
      </c>
      <c r="M98" s="381"/>
      <c r="N98" s="381">
        <f t="shared" si="2"/>
        <v>0</v>
      </c>
      <c r="O98" s="381"/>
      <c r="P98" s="381"/>
      <c r="Q98" s="381"/>
      <c r="R98" s="198"/>
      <c r="T98" s="199"/>
      <c r="U98" s="200"/>
      <c r="V98" s="201"/>
      <c r="W98" s="201"/>
      <c r="X98" s="201"/>
      <c r="Y98" s="201"/>
      <c r="Z98" s="201"/>
      <c r="AA98" s="202"/>
      <c r="AR98" s="137"/>
      <c r="AT98" s="137"/>
      <c r="AU98" s="137"/>
      <c r="AY98" s="137"/>
      <c r="BE98" s="203"/>
      <c r="BF98" s="203"/>
      <c r="BG98" s="203"/>
      <c r="BH98" s="203"/>
      <c r="BI98" s="203"/>
      <c r="BJ98" s="137"/>
      <c r="BK98" s="203"/>
      <c r="BL98" s="137"/>
      <c r="BM98" s="137"/>
    </row>
    <row r="99" spans="2:65" s="138" customFormat="1" ht="28.5" customHeight="1">
      <c r="B99" s="194"/>
      <c r="C99" s="210">
        <v>43</v>
      </c>
      <c r="D99" s="210" t="s">
        <v>856</v>
      </c>
      <c r="E99" s="211" t="s">
        <v>931</v>
      </c>
      <c r="F99" s="380" t="s">
        <v>930</v>
      </c>
      <c r="G99" s="380"/>
      <c r="H99" s="380"/>
      <c r="I99" s="380"/>
      <c r="J99" s="212" t="s">
        <v>243</v>
      </c>
      <c r="K99" s="213">
        <v>10</v>
      </c>
      <c r="L99" s="381">
        <v>0</v>
      </c>
      <c r="M99" s="381"/>
      <c r="N99" s="381">
        <f t="shared" si="2"/>
        <v>0</v>
      </c>
      <c r="O99" s="381"/>
      <c r="P99" s="381"/>
      <c r="Q99" s="381"/>
      <c r="R99" s="198"/>
      <c r="T99" s="199"/>
      <c r="U99" s="200"/>
      <c r="V99" s="201"/>
      <c r="W99" s="201"/>
      <c r="X99" s="201"/>
      <c r="Y99" s="201"/>
      <c r="Z99" s="201"/>
      <c r="AA99" s="202"/>
      <c r="AR99" s="137"/>
      <c r="AT99" s="137"/>
      <c r="AU99" s="137"/>
      <c r="AY99" s="137"/>
      <c r="BE99" s="203"/>
      <c r="BF99" s="203"/>
      <c r="BG99" s="203"/>
      <c r="BH99" s="203"/>
      <c r="BI99" s="203"/>
      <c r="BJ99" s="137"/>
      <c r="BK99" s="203"/>
      <c r="BL99" s="137"/>
      <c r="BM99" s="137"/>
    </row>
    <row r="100" spans="2:65" s="138" customFormat="1" ht="28.5" customHeight="1">
      <c r="B100" s="194"/>
      <c r="C100" s="210">
        <v>44</v>
      </c>
      <c r="D100" s="210" t="s">
        <v>856</v>
      </c>
      <c r="E100" s="211" t="s">
        <v>932</v>
      </c>
      <c r="F100" s="380" t="s">
        <v>933</v>
      </c>
      <c r="G100" s="380"/>
      <c r="H100" s="380"/>
      <c r="I100" s="380"/>
      <c r="J100" s="212" t="s">
        <v>243</v>
      </c>
      <c r="K100" s="213">
        <v>2</v>
      </c>
      <c r="L100" s="381">
        <v>0</v>
      </c>
      <c r="M100" s="381"/>
      <c r="N100" s="381">
        <f t="shared" si="2"/>
        <v>0</v>
      </c>
      <c r="O100" s="381"/>
      <c r="P100" s="381"/>
      <c r="Q100" s="381"/>
      <c r="R100" s="198"/>
      <c r="T100" s="199"/>
      <c r="U100" s="200"/>
      <c r="V100" s="201"/>
      <c r="W100" s="201"/>
      <c r="X100" s="201"/>
      <c r="Y100" s="201"/>
      <c r="Z100" s="201"/>
      <c r="AA100" s="202"/>
      <c r="AR100" s="137"/>
      <c r="AT100" s="137"/>
      <c r="AU100" s="137"/>
      <c r="AY100" s="137"/>
      <c r="BE100" s="203"/>
      <c r="BF100" s="203"/>
      <c r="BG100" s="203"/>
      <c r="BH100" s="203"/>
      <c r="BI100" s="203"/>
      <c r="BJ100" s="137"/>
      <c r="BK100" s="203"/>
      <c r="BL100" s="137"/>
      <c r="BM100" s="137"/>
    </row>
    <row r="101" spans="2:65" s="138" customFormat="1" ht="28.5" customHeight="1">
      <c r="B101" s="194"/>
      <c r="C101" s="176"/>
      <c r="D101" s="186" t="s">
        <v>811</v>
      </c>
      <c r="E101" s="186"/>
      <c r="F101" s="186"/>
      <c r="G101" s="186"/>
      <c r="H101" s="186"/>
      <c r="I101" s="186"/>
      <c r="J101" s="186"/>
      <c r="K101" s="186"/>
      <c r="L101" s="186"/>
      <c r="M101" s="186"/>
      <c r="N101" s="377">
        <f>N102+N103+N104+N105+N106+N107+N112+N113+N110+N111+N108+N109</f>
        <v>0</v>
      </c>
      <c r="O101" s="377"/>
      <c r="P101" s="377"/>
      <c r="Q101" s="377"/>
      <c r="R101" s="198"/>
      <c r="T101" s="214"/>
      <c r="U101" s="200"/>
      <c r="V101" s="201"/>
      <c r="W101" s="201"/>
      <c r="X101" s="201"/>
      <c r="Y101" s="201"/>
      <c r="Z101" s="201"/>
      <c r="AA101" s="202"/>
      <c r="AR101" s="137"/>
      <c r="AT101" s="137"/>
      <c r="AU101" s="137"/>
      <c r="AY101" s="137"/>
      <c r="BE101" s="203"/>
      <c r="BF101" s="203"/>
      <c r="BG101" s="203"/>
      <c r="BH101" s="203"/>
      <c r="BI101" s="203"/>
      <c r="BJ101" s="137"/>
      <c r="BK101" s="203"/>
      <c r="BL101" s="137"/>
      <c r="BM101" s="137"/>
    </row>
    <row r="102" spans="2:65" s="138" customFormat="1" ht="28.5" customHeight="1">
      <c r="B102" s="194"/>
      <c r="C102" s="187">
        <v>45</v>
      </c>
      <c r="D102" s="187" t="s">
        <v>839</v>
      </c>
      <c r="E102" s="188" t="s">
        <v>934</v>
      </c>
      <c r="F102" s="373" t="s">
        <v>935</v>
      </c>
      <c r="G102" s="373"/>
      <c r="H102" s="373"/>
      <c r="I102" s="373"/>
      <c r="J102" s="189" t="s">
        <v>207</v>
      </c>
      <c r="K102" s="190">
        <v>42</v>
      </c>
      <c r="L102" s="374">
        <v>0</v>
      </c>
      <c r="M102" s="374"/>
      <c r="N102" s="374">
        <f aca="true" t="shared" si="3" ref="N102:N113">ROUND(L102*K102,2)</f>
        <v>0</v>
      </c>
      <c r="O102" s="374"/>
      <c r="P102" s="374"/>
      <c r="Q102" s="374"/>
      <c r="R102" s="198"/>
      <c r="T102" s="214"/>
      <c r="U102" s="200"/>
      <c r="V102" s="201"/>
      <c r="W102" s="201"/>
      <c r="X102" s="201"/>
      <c r="Y102" s="201"/>
      <c r="Z102" s="201"/>
      <c r="AA102" s="202"/>
      <c r="AR102" s="137"/>
      <c r="AT102" s="137"/>
      <c r="AU102" s="137"/>
      <c r="AY102" s="137"/>
      <c r="BE102" s="203"/>
      <c r="BF102" s="203"/>
      <c r="BG102" s="203"/>
      <c r="BH102" s="203"/>
      <c r="BI102" s="203"/>
      <c r="BJ102" s="137"/>
      <c r="BK102" s="203"/>
      <c r="BL102" s="137"/>
      <c r="BM102" s="137"/>
    </row>
    <row r="103" spans="2:65" s="138" customFormat="1" ht="28.5" customHeight="1">
      <c r="B103" s="194"/>
      <c r="C103" s="210">
        <v>46</v>
      </c>
      <c r="D103" s="210" t="s">
        <v>856</v>
      </c>
      <c r="E103" s="211" t="s">
        <v>936</v>
      </c>
      <c r="F103" s="380" t="s">
        <v>937</v>
      </c>
      <c r="G103" s="380"/>
      <c r="H103" s="380"/>
      <c r="I103" s="380"/>
      <c r="J103" s="212" t="s">
        <v>616</v>
      </c>
      <c r="K103" s="213">
        <v>12</v>
      </c>
      <c r="L103" s="381">
        <v>0</v>
      </c>
      <c r="M103" s="381"/>
      <c r="N103" s="381">
        <f t="shared" si="3"/>
        <v>0</v>
      </c>
      <c r="O103" s="381"/>
      <c r="P103" s="381"/>
      <c r="Q103" s="381"/>
      <c r="R103" s="198"/>
      <c r="T103" s="214"/>
      <c r="U103" s="200"/>
      <c r="V103" s="201"/>
      <c r="W103" s="201"/>
      <c r="X103" s="201"/>
      <c r="Y103" s="201"/>
      <c r="Z103" s="201"/>
      <c r="AA103" s="202"/>
      <c r="AR103" s="137"/>
      <c r="AT103" s="137"/>
      <c r="AU103" s="137"/>
      <c r="AY103" s="137"/>
      <c r="BE103" s="203"/>
      <c r="BF103" s="203"/>
      <c r="BG103" s="203"/>
      <c r="BH103" s="203"/>
      <c r="BI103" s="203"/>
      <c r="BJ103" s="137"/>
      <c r="BK103" s="203"/>
      <c r="BL103" s="137"/>
      <c r="BM103" s="137"/>
    </row>
    <row r="104" spans="2:65" s="138" customFormat="1" ht="28.5" customHeight="1">
      <c r="B104" s="194"/>
      <c r="C104" s="210">
        <v>47</v>
      </c>
      <c r="D104" s="210" t="s">
        <v>856</v>
      </c>
      <c r="E104" s="211" t="s">
        <v>938</v>
      </c>
      <c r="F104" s="380" t="s">
        <v>939</v>
      </c>
      <c r="G104" s="380"/>
      <c r="H104" s="380"/>
      <c r="I104" s="380"/>
      <c r="J104" s="212" t="s">
        <v>616</v>
      </c>
      <c r="K104" s="213">
        <v>4</v>
      </c>
      <c r="L104" s="381">
        <v>0</v>
      </c>
      <c r="M104" s="381"/>
      <c r="N104" s="381">
        <f t="shared" si="3"/>
        <v>0</v>
      </c>
      <c r="O104" s="381"/>
      <c r="P104" s="381"/>
      <c r="Q104" s="381"/>
      <c r="R104" s="198"/>
      <c r="T104" s="214"/>
      <c r="U104" s="200"/>
      <c r="V104" s="201"/>
      <c r="W104" s="201"/>
      <c r="X104" s="201"/>
      <c r="Y104" s="201"/>
      <c r="Z104" s="201"/>
      <c r="AA104" s="202"/>
      <c r="AR104" s="137"/>
      <c r="AT104" s="137"/>
      <c r="AU104" s="137"/>
      <c r="AY104" s="137"/>
      <c r="BE104" s="203"/>
      <c r="BF104" s="203"/>
      <c r="BG104" s="203"/>
      <c r="BH104" s="203"/>
      <c r="BI104" s="203"/>
      <c r="BJ104" s="137"/>
      <c r="BK104" s="203"/>
      <c r="BL104" s="137"/>
      <c r="BM104" s="137"/>
    </row>
    <row r="105" spans="2:65" s="138" customFormat="1" ht="28.5" customHeight="1">
      <c r="B105" s="194"/>
      <c r="C105" s="210">
        <v>48</v>
      </c>
      <c r="D105" s="210" t="s">
        <v>856</v>
      </c>
      <c r="E105" s="211" t="s">
        <v>940</v>
      </c>
      <c r="F105" s="380" t="s">
        <v>941</v>
      </c>
      <c r="G105" s="380"/>
      <c r="H105" s="380"/>
      <c r="I105" s="380"/>
      <c r="J105" s="212" t="s">
        <v>616</v>
      </c>
      <c r="K105" s="213">
        <v>24</v>
      </c>
      <c r="L105" s="381">
        <v>0</v>
      </c>
      <c r="M105" s="381"/>
      <c r="N105" s="381">
        <f t="shared" si="3"/>
        <v>0</v>
      </c>
      <c r="O105" s="381"/>
      <c r="P105" s="381"/>
      <c r="Q105" s="381"/>
      <c r="R105" s="198"/>
      <c r="T105" s="214"/>
      <c r="U105" s="200"/>
      <c r="V105" s="201"/>
      <c r="W105" s="201"/>
      <c r="X105" s="201"/>
      <c r="Y105" s="201"/>
      <c r="Z105" s="201"/>
      <c r="AA105" s="202"/>
      <c r="AR105" s="137"/>
      <c r="AT105" s="137"/>
      <c r="AU105" s="137"/>
      <c r="AY105" s="137"/>
      <c r="BE105" s="203"/>
      <c r="BF105" s="203"/>
      <c r="BG105" s="203"/>
      <c r="BH105" s="203"/>
      <c r="BI105" s="203"/>
      <c r="BJ105" s="137"/>
      <c r="BK105" s="203"/>
      <c r="BL105" s="137"/>
      <c r="BM105" s="137"/>
    </row>
    <row r="106" spans="2:65" s="138" customFormat="1" ht="28.5" customHeight="1">
      <c r="B106" s="194"/>
      <c r="C106" s="210">
        <v>49</v>
      </c>
      <c r="D106" s="210" t="s">
        <v>856</v>
      </c>
      <c r="E106" s="211" t="s">
        <v>942</v>
      </c>
      <c r="F106" s="380" t="s">
        <v>943</v>
      </c>
      <c r="G106" s="380"/>
      <c r="H106" s="380"/>
      <c r="I106" s="380"/>
      <c r="J106" s="212" t="s">
        <v>944</v>
      </c>
      <c r="K106" s="213">
        <v>10</v>
      </c>
      <c r="L106" s="381">
        <v>0</v>
      </c>
      <c r="M106" s="381"/>
      <c r="N106" s="381">
        <f t="shared" si="3"/>
        <v>0</v>
      </c>
      <c r="O106" s="381"/>
      <c r="P106" s="381"/>
      <c r="Q106" s="381"/>
      <c r="R106" s="198"/>
      <c r="T106" s="214"/>
      <c r="U106" s="200"/>
      <c r="V106" s="201"/>
      <c r="W106" s="201"/>
      <c r="X106" s="201"/>
      <c r="Y106" s="201"/>
      <c r="Z106" s="201"/>
      <c r="AA106" s="202"/>
      <c r="AR106" s="137"/>
      <c r="AT106" s="137"/>
      <c r="AU106" s="137"/>
      <c r="AY106" s="137"/>
      <c r="BE106" s="203"/>
      <c r="BF106" s="203"/>
      <c r="BG106" s="203"/>
      <c r="BH106" s="203"/>
      <c r="BI106" s="203"/>
      <c r="BJ106" s="137"/>
      <c r="BK106" s="203"/>
      <c r="BL106" s="137"/>
      <c r="BM106" s="137"/>
    </row>
    <row r="107" spans="2:65" s="138" customFormat="1" ht="28.5" customHeight="1">
      <c r="B107" s="194"/>
      <c r="C107" s="187">
        <v>50</v>
      </c>
      <c r="D107" s="187" t="s">
        <v>839</v>
      </c>
      <c r="E107" s="188" t="s">
        <v>945</v>
      </c>
      <c r="F107" s="373" t="s">
        <v>946</v>
      </c>
      <c r="G107" s="373"/>
      <c r="H107" s="373"/>
      <c r="I107" s="373"/>
      <c r="J107" s="189" t="s">
        <v>207</v>
      </c>
      <c r="K107" s="190">
        <v>12</v>
      </c>
      <c r="L107" s="374">
        <v>0</v>
      </c>
      <c r="M107" s="374"/>
      <c r="N107" s="374">
        <f t="shared" si="3"/>
        <v>0</v>
      </c>
      <c r="O107" s="374"/>
      <c r="P107" s="374"/>
      <c r="Q107" s="374"/>
      <c r="R107" s="198"/>
      <c r="T107" s="214"/>
      <c r="U107" s="200"/>
      <c r="V107" s="201"/>
      <c r="W107" s="201"/>
      <c r="X107" s="201"/>
      <c r="Y107" s="201"/>
      <c r="Z107" s="201"/>
      <c r="AA107" s="202"/>
      <c r="AR107" s="137"/>
      <c r="AT107" s="137"/>
      <c r="AU107" s="137"/>
      <c r="AY107" s="137"/>
      <c r="BE107" s="203"/>
      <c r="BF107" s="203"/>
      <c r="BG107" s="203"/>
      <c r="BH107" s="203"/>
      <c r="BI107" s="203"/>
      <c r="BJ107" s="137"/>
      <c r="BK107" s="203"/>
      <c r="BL107" s="137"/>
      <c r="BM107" s="137"/>
    </row>
    <row r="108" spans="2:65" s="138" customFormat="1" ht="28.5" customHeight="1">
      <c r="B108" s="194"/>
      <c r="C108" s="187">
        <v>51</v>
      </c>
      <c r="D108" s="187" t="s">
        <v>839</v>
      </c>
      <c r="E108" s="188" t="s">
        <v>947</v>
      </c>
      <c r="F108" s="373" t="s">
        <v>948</v>
      </c>
      <c r="G108" s="373"/>
      <c r="H108" s="373"/>
      <c r="I108" s="373"/>
      <c r="J108" s="189" t="s">
        <v>207</v>
      </c>
      <c r="K108" s="190">
        <v>24</v>
      </c>
      <c r="L108" s="374">
        <v>0</v>
      </c>
      <c r="M108" s="374"/>
      <c r="N108" s="374">
        <f t="shared" si="3"/>
        <v>0</v>
      </c>
      <c r="O108" s="374"/>
      <c r="P108" s="374"/>
      <c r="Q108" s="374"/>
      <c r="R108" s="198"/>
      <c r="T108" s="214"/>
      <c r="U108" s="200"/>
      <c r="V108" s="201"/>
      <c r="W108" s="201"/>
      <c r="X108" s="201"/>
      <c r="Y108" s="201"/>
      <c r="Z108" s="201"/>
      <c r="AA108" s="202"/>
      <c r="AR108" s="137"/>
      <c r="AT108" s="137"/>
      <c r="AU108" s="137"/>
      <c r="AY108" s="137"/>
      <c r="BE108" s="203"/>
      <c r="BF108" s="203"/>
      <c r="BG108" s="203"/>
      <c r="BH108" s="203"/>
      <c r="BI108" s="203"/>
      <c r="BJ108" s="137"/>
      <c r="BK108" s="203"/>
      <c r="BL108" s="137"/>
      <c r="BM108" s="137"/>
    </row>
    <row r="109" spans="2:65" s="138" customFormat="1" ht="28.5" customHeight="1">
      <c r="B109" s="194"/>
      <c r="C109" s="187">
        <v>52</v>
      </c>
      <c r="D109" s="187" t="s">
        <v>839</v>
      </c>
      <c r="E109" s="188" t="s">
        <v>947</v>
      </c>
      <c r="F109" s="373" t="s">
        <v>949</v>
      </c>
      <c r="G109" s="373"/>
      <c r="H109" s="373"/>
      <c r="I109" s="373"/>
      <c r="J109" s="189" t="s">
        <v>207</v>
      </c>
      <c r="K109" s="190">
        <v>8</v>
      </c>
      <c r="L109" s="374">
        <v>0</v>
      </c>
      <c r="M109" s="374"/>
      <c r="N109" s="374">
        <f t="shared" si="3"/>
        <v>0</v>
      </c>
      <c r="O109" s="374"/>
      <c r="P109" s="374"/>
      <c r="Q109" s="374"/>
      <c r="R109" s="198"/>
      <c r="T109" s="214"/>
      <c r="U109" s="200"/>
      <c r="V109" s="201"/>
      <c r="W109" s="201"/>
      <c r="X109" s="201"/>
      <c r="Y109" s="201"/>
      <c r="Z109" s="201"/>
      <c r="AA109" s="202"/>
      <c r="AR109" s="137"/>
      <c r="AT109" s="137"/>
      <c r="AU109" s="137"/>
      <c r="AY109" s="137"/>
      <c r="BE109" s="203"/>
      <c r="BF109" s="203"/>
      <c r="BG109" s="203"/>
      <c r="BH109" s="203"/>
      <c r="BI109" s="203"/>
      <c r="BJ109" s="137"/>
      <c r="BK109" s="203"/>
      <c r="BL109" s="137"/>
      <c r="BM109" s="137"/>
    </row>
    <row r="110" spans="2:65" s="138" customFormat="1" ht="28.5" customHeight="1">
      <c r="B110" s="194"/>
      <c r="C110" s="187">
        <v>53</v>
      </c>
      <c r="D110" s="187" t="s">
        <v>839</v>
      </c>
      <c r="E110" s="188" t="s">
        <v>950</v>
      </c>
      <c r="F110" s="373" t="s">
        <v>951</v>
      </c>
      <c r="G110" s="373"/>
      <c r="H110" s="373"/>
      <c r="I110" s="373"/>
      <c r="J110" s="189" t="s">
        <v>697</v>
      </c>
      <c r="K110" s="190">
        <v>20</v>
      </c>
      <c r="L110" s="374">
        <v>0</v>
      </c>
      <c r="M110" s="374"/>
      <c r="N110" s="374">
        <f t="shared" si="3"/>
        <v>0</v>
      </c>
      <c r="O110" s="374"/>
      <c r="P110" s="374"/>
      <c r="Q110" s="374"/>
      <c r="R110" s="198"/>
      <c r="T110" s="214"/>
      <c r="U110" s="200"/>
      <c r="V110" s="201"/>
      <c r="W110" s="201"/>
      <c r="X110" s="201"/>
      <c r="Y110" s="201"/>
      <c r="Z110" s="201"/>
      <c r="AA110" s="202"/>
      <c r="AR110" s="137"/>
      <c r="AT110" s="137"/>
      <c r="AU110" s="137"/>
      <c r="AY110" s="137"/>
      <c r="BE110" s="203"/>
      <c r="BF110" s="203"/>
      <c r="BG110" s="203"/>
      <c r="BH110" s="203"/>
      <c r="BI110" s="203"/>
      <c r="BJ110" s="137"/>
      <c r="BK110" s="203"/>
      <c r="BL110" s="137"/>
      <c r="BM110" s="137"/>
    </row>
    <row r="111" spans="2:65" s="138" customFormat="1" ht="60" customHeight="1">
      <c r="B111" s="194"/>
      <c r="C111" s="187">
        <v>54</v>
      </c>
      <c r="D111" s="187" t="s">
        <v>839</v>
      </c>
      <c r="E111" s="188" t="s">
        <v>952</v>
      </c>
      <c r="F111" s="373" t="s">
        <v>953</v>
      </c>
      <c r="G111" s="373"/>
      <c r="H111" s="373"/>
      <c r="I111" s="373"/>
      <c r="J111" s="189" t="s">
        <v>697</v>
      </c>
      <c r="K111" s="190">
        <v>4</v>
      </c>
      <c r="L111" s="374">
        <v>0</v>
      </c>
      <c r="M111" s="374"/>
      <c r="N111" s="374">
        <f t="shared" si="3"/>
        <v>0</v>
      </c>
      <c r="O111" s="374"/>
      <c r="P111" s="374"/>
      <c r="Q111" s="374"/>
      <c r="R111" s="198"/>
      <c r="T111" s="214"/>
      <c r="U111" s="200"/>
      <c r="V111" s="201"/>
      <c r="W111" s="201"/>
      <c r="X111" s="201"/>
      <c r="Y111" s="201"/>
      <c r="Z111" s="201"/>
      <c r="AA111" s="202"/>
      <c r="AR111" s="137"/>
      <c r="AT111" s="137"/>
      <c r="AU111" s="137"/>
      <c r="AY111" s="137"/>
      <c r="BE111" s="203"/>
      <c r="BF111" s="203"/>
      <c r="BG111" s="203"/>
      <c r="BH111" s="203"/>
      <c r="BI111" s="203"/>
      <c r="BJ111" s="137"/>
      <c r="BK111" s="203"/>
      <c r="BL111" s="137"/>
      <c r="BM111" s="137"/>
    </row>
    <row r="112" spans="2:65" s="138" customFormat="1" ht="28.5" customHeight="1">
      <c r="B112" s="194"/>
      <c r="C112" s="187">
        <v>55</v>
      </c>
      <c r="D112" s="187" t="s">
        <v>839</v>
      </c>
      <c r="E112" s="188" t="s">
        <v>954</v>
      </c>
      <c r="F112" s="373" t="s">
        <v>955</v>
      </c>
      <c r="G112" s="373"/>
      <c r="H112" s="373"/>
      <c r="I112" s="373"/>
      <c r="J112" s="189" t="s">
        <v>207</v>
      </c>
      <c r="K112" s="190">
        <v>1</v>
      </c>
      <c r="L112" s="374">
        <v>0</v>
      </c>
      <c r="M112" s="374"/>
      <c r="N112" s="374">
        <f t="shared" si="3"/>
        <v>0</v>
      </c>
      <c r="O112" s="374"/>
      <c r="P112" s="374"/>
      <c r="Q112" s="374"/>
      <c r="R112" s="198"/>
      <c r="T112" s="214"/>
      <c r="U112" s="200"/>
      <c r="V112" s="201"/>
      <c r="W112" s="201"/>
      <c r="X112" s="201"/>
      <c r="Y112" s="201"/>
      <c r="Z112" s="201"/>
      <c r="AA112" s="202"/>
      <c r="AR112" s="137"/>
      <c r="AT112" s="137"/>
      <c r="AU112" s="137"/>
      <c r="AY112" s="137"/>
      <c r="BE112" s="203"/>
      <c r="BF112" s="203"/>
      <c r="BG112" s="203"/>
      <c r="BH112" s="203"/>
      <c r="BI112" s="203"/>
      <c r="BJ112" s="137"/>
      <c r="BK112" s="203"/>
      <c r="BL112" s="137"/>
      <c r="BM112" s="137"/>
    </row>
    <row r="113" spans="2:65" s="138" customFormat="1" ht="28.5" customHeight="1">
      <c r="B113" s="194"/>
      <c r="C113" s="210">
        <v>56</v>
      </c>
      <c r="D113" s="210" t="s">
        <v>856</v>
      </c>
      <c r="E113" s="211" t="s">
        <v>956</v>
      </c>
      <c r="F113" s="380" t="s">
        <v>957</v>
      </c>
      <c r="G113" s="380"/>
      <c r="H113" s="380"/>
      <c r="I113" s="380"/>
      <c r="J113" s="212" t="s">
        <v>958</v>
      </c>
      <c r="K113" s="213">
        <v>1</v>
      </c>
      <c r="L113" s="381">
        <v>0</v>
      </c>
      <c r="M113" s="381"/>
      <c r="N113" s="381">
        <f t="shared" si="3"/>
        <v>0</v>
      </c>
      <c r="O113" s="381"/>
      <c r="P113" s="381"/>
      <c r="Q113" s="381"/>
      <c r="R113" s="198"/>
      <c r="T113" s="214"/>
      <c r="U113" s="200"/>
      <c r="V113" s="201"/>
      <c r="W113" s="201"/>
      <c r="X113" s="201"/>
      <c r="Y113" s="201"/>
      <c r="Z113" s="201"/>
      <c r="AA113" s="202"/>
      <c r="AR113" s="137"/>
      <c r="AT113" s="137"/>
      <c r="AU113" s="137"/>
      <c r="AY113" s="137"/>
      <c r="BE113" s="203"/>
      <c r="BF113" s="203"/>
      <c r="BG113" s="203"/>
      <c r="BH113" s="203"/>
      <c r="BI113" s="203"/>
      <c r="BJ113" s="137"/>
      <c r="BK113" s="203"/>
      <c r="BL113" s="137"/>
      <c r="BM113" s="137"/>
    </row>
    <row r="114" spans="2:63" s="176" customFormat="1" ht="29.25" customHeight="1">
      <c r="B114" s="177"/>
      <c r="D114" s="186" t="s">
        <v>812</v>
      </c>
      <c r="E114" s="186"/>
      <c r="F114" s="186"/>
      <c r="G114" s="186"/>
      <c r="H114" s="186"/>
      <c r="I114" s="186"/>
      <c r="J114" s="186"/>
      <c r="K114" s="186"/>
      <c r="L114" s="186"/>
      <c r="M114" s="186"/>
      <c r="N114" s="377">
        <f>N115+N116+N117+N118+N119+N120+N121+N122+N123+N124+N125+N126</f>
        <v>0</v>
      </c>
      <c r="O114" s="377"/>
      <c r="P114" s="377"/>
      <c r="Q114" s="377"/>
      <c r="R114" s="179"/>
      <c r="T114" s="180"/>
      <c r="W114" s="181">
        <f>SUM(W115:W126)</f>
        <v>1.077</v>
      </c>
      <c r="Y114" s="181">
        <f>SUM(Y115:Y126)</f>
        <v>0</v>
      </c>
      <c r="AA114" s="182">
        <f>SUM(AA115:AA126)</f>
        <v>0</v>
      </c>
      <c r="AR114" s="183" t="s">
        <v>177</v>
      </c>
      <c r="AT114" s="184" t="s">
        <v>835</v>
      </c>
      <c r="AU114" s="184" t="s">
        <v>163</v>
      </c>
      <c r="AY114" s="183" t="s">
        <v>837</v>
      </c>
      <c r="BK114" s="185">
        <f>SUM(BK115:BK126)</f>
        <v>0</v>
      </c>
    </row>
    <row r="115" spans="2:65" s="138" customFormat="1" ht="28.5" customHeight="1">
      <c r="B115" s="194"/>
      <c r="C115" s="187">
        <v>57</v>
      </c>
      <c r="D115" s="187" t="s">
        <v>839</v>
      </c>
      <c r="E115" s="188" t="s">
        <v>959</v>
      </c>
      <c r="F115" s="373" t="s">
        <v>960</v>
      </c>
      <c r="G115" s="373"/>
      <c r="H115" s="373"/>
      <c r="I115" s="373"/>
      <c r="J115" s="189" t="s">
        <v>207</v>
      </c>
      <c r="K115" s="190">
        <v>3</v>
      </c>
      <c r="L115" s="374">
        <v>0</v>
      </c>
      <c r="M115" s="374"/>
      <c r="N115" s="374">
        <f aca="true" t="shared" si="4" ref="N115:N120">ROUND(L115*K115,2)</f>
        <v>0</v>
      </c>
      <c r="O115" s="374"/>
      <c r="P115" s="374"/>
      <c r="Q115" s="374"/>
      <c r="R115" s="198"/>
      <c r="T115" s="199"/>
      <c r="U115" s="200" t="s">
        <v>852</v>
      </c>
      <c r="V115" s="201">
        <v>0.359</v>
      </c>
      <c r="W115" s="201">
        <f>V115*K115</f>
        <v>1.077</v>
      </c>
      <c r="X115" s="201">
        <v>0</v>
      </c>
      <c r="Y115" s="201">
        <f>X115*K115</f>
        <v>0</v>
      </c>
      <c r="Z115" s="201">
        <v>0</v>
      </c>
      <c r="AA115" s="202">
        <f>Z115*K115</f>
        <v>0</v>
      </c>
      <c r="AR115" s="137" t="s">
        <v>272</v>
      </c>
      <c r="AT115" s="137" t="s">
        <v>839</v>
      </c>
      <c r="AU115" s="137" t="s">
        <v>177</v>
      </c>
      <c r="AY115" s="137" t="s">
        <v>837</v>
      </c>
      <c r="BE115" s="203">
        <f>IF(U115="základní",N115,0)</f>
        <v>0</v>
      </c>
      <c r="BF115" s="203">
        <f>IF(U115="snížená",N115,0)</f>
        <v>0</v>
      </c>
      <c r="BG115" s="203">
        <f>IF(U115="zákl. přenesená",N115,0)</f>
        <v>0</v>
      </c>
      <c r="BH115" s="203">
        <f>IF(U115="sníž. přenesená",N115,0)</f>
        <v>0</v>
      </c>
      <c r="BI115" s="203">
        <f>IF(U115="nulová",N115,0)</f>
        <v>0</v>
      </c>
      <c r="BJ115" s="137" t="s">
        <v>163</v>
      </c>
      <c r="BK115" s="203">
        <f>ROUND(L115*K115,2)</f>
        <v>0</v>
      </c>
      <c r="BL115" s="137" t="s">
        <v>272</v>
      </c>
      <c r="BM115" s="137" t="s">
        <v>961</v>
      </c>
    </row>
    <row r="116" spans="2:65" s="138" customFormat="1" ht="28.5" customHeight="1">
      <c r="B116" s="194"/>
      <c r="C116" s="210">
        <v>58</v>
      </c>
      <c r="D116" s="210" t="s">
        <v>856</v>
      </c>
      <c r="E116" s="211" t="s">
        <v>962</v>
      </c>
      <c r="F116" s="380" t="s">
        <v>963</v>
      </c>
      <c r="G116" s="380"/>
      <c r="H116" s="380"/>
      <c r="I116" s="380"/>
      <c r="J116" s="212" t="s">
        <v>207</v>
      </c>
      <c r="K116" s="213">
        <v>3</v>
      </c>
      <c r="L116" s="381">
        <v>0</v>
      </c>
      <c r="M116" s="381"/>
      <c r="N116" s="381">
        <f t="shared" si="4"/>
        <v>0</v>
      </c>
      <c r="O116" s="381"/>
      <c r="P116" s="381"/>
      <c r="Q116" s="381"/>
      <c r="R116" s="198"/>
      <c r="T116" s="199"/>
      <c r="U116" s="200"/>
      <c r="V116" s="201"/>
      <c r="W116" s="201"/>
      <c r="X116" s="201"/>
      <c r="Y116" s="201"/>
      <c r="Z116" s="201"/>
      <c r="AA116" s="202"/>
      <c r="AR116" s="137"/>
      <c r="AT116" s="137"/>
      <c r="AU116" s="137"/>
      <c r="AY116" s="137"/>
      <c r="BE116" s="203"/>
      <c r="BF116" s="203"/>
      <c r="BG116" s="203"/>
      <c r="BH116" s="203"/>
      <c r="BI116" s="203"/>
      <c r="BJ116" s="137"/>
      <c r="BK116" s="203"/>
      <c r="BL116" s="137"/>
      <c r="BM116" s="137"/>
    </row>
    <row r="117" spans="2:65" s="138" customFormat="1" ht="28.5" customHeight="1">
      <c r="B117" s="194"/>
      <c r="C117" s="187">
        <v>59</v>
      </c>
      <c r="D117" s="187" t="s">
        <v>839</v>
      </c>
      <c r="E117" s="188" t="s">
        <v>964</v>
      </c>
      <c r="F117" s="373" t="s">
        <v>965</v>
      </c>
      <c r="G117" s="373"/>
      <c r="H117" s="373"/>
      <c r="I117" s="373"/>
      <c r="J117" s="189" t="s">
        <v>207</v>
      </c>
      <c r="K117" s="190">
        <v>2</v>
      </c>
      <c r="L117" s="374">
        <v>0</v>
      </c>
      <c r="M117" s="374"/>
      <c r="N117" s="374">
        <f t="shared" si="4"/>
        <v>0</v>
      </c>
      <c r="O117" s="374"/>
      <c r="P117" s="374"/>
      <c r="Q117" s="374"/>
      <c r="R117" s="198"/>
      <c r="T117" s="199"/>
      <c r="U117" s="200"/>
      <c r="V117" s="201"/>
      <c r="W117" s="201"/>
      <c r="X117" s="201"/>
      <c r="Y117" s="201"/>
      <c r="Z117" s="201"/>
      <c r="AA117" s="202"/>
      <c r="AR117" s="137"/>
      <c r="AT117" s="137"/>
      <c r="AU117" s="137"/>
      <c r="AY117" s="137"/>
      <c r="BE117" s="203"/>
      <c r="BF117" s="203"/>
      <c r="BG117" s="203"/>
      <c r="BH117" s="203"/>
      <c r="BI117" s="203"/>
      <c r="BJ117" s="137"/>
      <c r="BK117" s="203"/>
      <c r="BL117" s="137"/>
      <c r="BM117" s="137"/>
    </row>
    <row r="118" spans="2:65" s="138" customFormat="1" ht="28.5" customHeight="1">
      <c r="B118" s="194"/>
      <c r="C118" s="210">
        <v>60</v>
      </c>
      <c r="D118" s="210" t="s">
        <v>856</v>
      </c>
      <c r="E118" s="211" t="s">
        <v>966</v>
      </c>
      <c r="F118" s="380" t="s">
        <v>967</v>
      </c>
      <c r="G118" s="380"/>
      <c r="H118" s="380"/>
      <c r="I118" s="380"/>
      <c r="J118" s="212" t="s">
        <v>207</v>
      </c>
      <c r="K118" s="213">
        <v>2</v>
      </c>
      <c r="L118" s="381">
        <v>0</v>
      </c>
      <c r="M118" s="381"/>
      <c r="N118" s="381">
        <f t="shared" si="4"/>
        <v>0</v>
      </c>
      <c r="O118" s="381"/>
      <c r="P118" s="381"/>
      <c r="Q118" s="381"/>
      <c r="R118" s="198"/>
      <c r="T118" s="199"/>
      <c r="U118" s="200"/>
      <c r="V118" s="201"/>
      <c r="W118" s="201"/>
      <c r="X118" s="201"/>
      <c r="Y118" s="201"/>
      <c r="Z118" s="201"/>
      <c r="AA118" s="202"/>
      <c r="AR118" s="137"/>
      <c r="AT118" s="137"/>
      <c r="AU118" s="137"/>
      <c r="AY118" s="137"/>
      <c r="BE118" s="203"/>
      <c r="BF118" s="203"/>
      <c r="BG118" s="203"/>
      <c r="BH118" s="203"/>
      <c r="BI118" s="203"/>
      <c r="BJ118" s="137"/>
      <c r="BK118" s="203"/>
      <c r="BL118" s="137"/>
      <c r="BM118" s="137"/>
    </row>
    <row r="119" spans="2:65" s="138" customFormat="1" ht="28.5" customHeight="1">
      <c r="B119" s="194"/>
      <c r="C119" s="187">
        <v>61</v>
      </c>
      <c r="D119" s="187" t="s">
        <v>839</v>
      </c>
      <c r="E119" s="188" t="s">
        <v>968</v>
      </c>
      <c r="F119" s="373" t="s">
        <v>969</v>
      </c>
      <c r="G119" s="373"/>
      <c r="H119" s="373"/>
      <c r="I119" s="373"/>
      <c r="J119" s="189" t="s">
        <v>207</v>
      </c>
      <c r="K119" s="190">
        <v>2</v>
      </c>
      <c r="L119" s="374">
        <v>0</v>
      </c>
      <c r="M119" s="374"/>
      <c r="N119" s="374">
        <f t="shared" si="4"/>
        <v>0</v>
      </c>
      <c r="O119" s="374"/>
      <c r="P119" s="374"/>
      <c r="Q119" s="374"/>
      <c r="R119" s="198"/>
      <c r="T119" s="199"/>
      <c r="U119" s="200"/>
      <c r="V119" s="201"/>
      <c r="W119" s="201"/>
      <c r="X119" s="201"/>
      <c r="Y119" s="201"/>
      <c r="Z119" s="201"/>
      <c r="AA119" s="202"/>
      <c r="AR119" s="137"/>
      <c r="AT119" s="137"/>
      <c r="AU119" s="137"/>
      <c r="AY119" s="137"/>
      <c r="BE119" s="203"/>
      <c r="BF119" s="203"/>
      <c r="BG119" s="203"/>
      <c r="BH119" s="203"/>
      <c r="BI119" s="203"/>
      <c r="BJ119" s="137"/>
      <c r="BK119" s="203"/>
      <c r="BL119" s="137"/>
      <c r="BM119" s="137"/>
    </row>
    <row r="120" spans="2:65" s="138" customFormat="1" ht="28.5" customHeight="1">
      <c r="B120" s="194"/>
      <c r="C120" s="210">
        <v>62</v>
      </c>
      <c r="D120" s="210" t="s">
        <v>856</v>
      </c>
      <c r="E120" s="211" t="s">
        <v>970</v>
      </c>
      <c r="F120" s="380" t="s">
        <v>969</v>
      </c>
      <c r="G120" s="380"/>
      <c r="H120" s="380"/>
      <c r="I120" s="380"/>
      <c r="J120" s="212" t="s">
        <v>207</v>
      </c>
      <c r="K120" s="213">
        <v>2</v>
      </c>
      <c r="L120" s="381">
        <v>0</v>
      </c>
      <c r="M120" s="381"/>
      <c r="N120" s="381">
        <f t="shared" si="4"/>
        <v>0</v>
      </c>
      <c r="O120" s="381"/>
      <c r="P120" s="381"/>
      <c r="Q120" s="381"/>
      <c r="R120" s="198"/>
      <c r="T120" s="199"/>
      <c r="U120" s="200"/>
      <c r="V120" s="201"/>
      <c r="W120" s="201"/>
      <c r="X120" s="201"/>
      <c r="Y120" s="201"/>
      <c r="Z120" s="201"/>
      <c r="AA120" s="202"/>
      <c r="AR120" s="137"/>
      <c r="AT120" s="137"/>
      <c r="AU120" s="137"/>
      <c r="AY120" s="137"/>
      <c r="BE120" s="203"/>
      <c r="BF120" s="203"/>
      <c r="BG120" s="203"/>
      <c r="BH120" s="203"/>
      <c r="BI120" s="203"/>
      <c r="BJ120" s="137"/>
      <c r="BK120" s="203"/>
      <c r="BL120" s="137"/>
      <c r="BM120" s="137"/>
    </row>
    <row r="121" spans="2:65" s="138" customFormat="1" ht="30" customHeight="1">
      <c r="B121" s="194"/>
      <c r="C121" s="187">
        <v>63</v>
      </c>
      <c r="D121" s="187" t="s">
        <v>839</v>
      </c>
      <c r="E121" s="188" t="s">
        <v>971</v>
      </c>
      <c r="F121" s="373" t="s">
        <v>972</v>
      </c>
      <c r="G121" s="373"/>
      <c r="H121" s="373"/>
      <c r="I121" s="373"/>
      <c r="J121" s="189" t="s">
        <v>207</v>
      </c>
      <c r="K121" s="190">
        <v>1</v>
      </c>
      <c r="L121" s="374">
        <v>0</v>
      </c>
      <c r="M121" s="374"/>
      <c r="N121" s="374">
        <f>L121*K121</f>
        <v>0</v>
      </c>
      <c r="O121" s="374"/>
      <c r="P121" s="374"/>
      <c r="Q121" s="374"/>
      <c r="R121" s="198"/>
      <c r="T121" s="199"/>
      <c r="U121" s="200"/>
      <c r="V121" s="201"/>
      <c r="W121" s="201"/>
      <c r="X121" s="201"/>
      <c r="Y121" s="201"/>
      <c r="Z121" s="201"/>
      <c r="AA121" s="202"/>
      <c r="AR121" s="137"/>
      <c r="AT121" s="137"/>
      <c r="AU121" s="137"/>
      <c r="AY121" s="137"/>
      <c r="BE121" s="203"/>
      <c r="BF121" s="203"/>
      <c r="BG121" s="203"/>
      <c r="BH121" s="203"/>
      <c r="BI121" s="203"/>
      <c r="BJ121" s="137"/>
      <c r="BK121" s="203"/>
      <c r="BL121" s="137"/>
      <c r="BM121" s="137"/>
    </row>
    <row r="122" spans="2:65" s="138" customFormat="1" ht="30" customHeight="1">
      <c r="B122" s="194"/>
      <c r="C122" s="210">
        <v>64</v>
      </c>
      <c r="D122" s="210" t="s">
        <v>856</v>
      </c>
      <c r="E122" s="211" t="s">
        <v>973</v>
      </c>
      <c r="F122" s="380" t="s">
        <v>974</v>
      </c>
      <c r="G122" s="380"/>
      <c r="H122" s="380"/>
      <c r="I122" s="380"/>
      <c r="J122" s="212" t="s">
        <v>207</v>
      </c>
      <c r="K122" s="213">
        <v>1</v>
      </c>
      <c r="L122" s="381">
        <v>0</v>
      </c>
      <c r="M122" s="381"/>
      <c r="N122" s="381">
        <f>ROUND(L122*K122,2)</f>
        <v>0</v>
      </c>
      <c r="O122" s="381"/>
      <c r="P122" s="381"/>
      <c r="Q122" s="381"/>
      <c r="R122" s="198"/>
      <c r="T122" s="199"/>
      <c r="U122" s="200"/>
      <c r="V122" s="201"/>
      <c r="W122" s="201"/>
      <c r="X122" s="201"/>
      <c r="Y122" s="201"/>
      <c r="Z122" s="201"/>
      <c r="AA122" s="202"/>
      <c r="AR122" s="137"/>
      <c r="AT122" s="137"/>
      <c r="AU122" s="137"/>
      <c r="AY122" s="137"/>
      <c r="BE122" s="203"/>
      <c r="BF122" s="203"/>
      <c r="BG122" s="203"/>
      <c r="BH122" s="203"/>
      <c r="BI122" s="203"/>
      <c r="BJ122" s="137"/>
      <c r="BK122" s="203"/>
      <c r="BL122" s="137"/>
      <c r="BM122" s="137"/>
    </row>
    <row r="123" spans="2:65" s="138" customFormat="1" ht="28.5" customHeight="1">
      <c r="B123" s="194"/>
      <c r="C123" s="215">
        <v>65</v>
      </c>
      <c r="D123" s="187" t="s">
        <v>839</v>
      </c>
      <c r="E123" s="188" t="s">
        <v>975</v>
      </c>
      <c r="F123" s="373" t="s">
        <v>976</v>
      </c>
      <c r="G123" s="373"/>
      <c r="H123" s="373"/>
      <c r="I123" s="373"/>
      <c r="J123" s="189" t="s">
        <v>207</v>
      </c>
      <c r="K123" s="190">
        <v>2</v>
      </c>
      <c r="L123" s="374">
        <v>0</v>
      </c>
      <c r="M123" s="374"/>
      <c r="N123" s="374">
        <f>ROUND(L123*K123,2)</f>
        <v>0</v>
      </c>
      <c r="O123" s="374"/>
      <c r="P123" s="374"/>
      <c r="Q123" s="374"/>
      <c r="R123" s="198"/>
      <c r="T123" s="199"/>
      <c r="U123" s="200"/>
      <c r="V123" s="201"/>
      <c r="W123" s="201"/>
      <c r="X123" s="201"/>
      <c r="Y123" s="201"/>
      <c r="Z123" s="201"/>
      <c r="AA123" s="202"/>
      <c r="AR123" s="137"/>
      <c r="AT123" s="137"/>
      <c r="AU123" s="137"/>
      <c r="AY123" s="137"/>
      <c r="BE123" s="203"/>
      <c r="BF123" s="203"/>
      <c r="BG123" s="203"/>
      <c r="BH123" s="203"/>
      <c r="BI123" s="203"/>
      <c r="BJ123" s="137"/>
      <c r="BK123" s="203"/>
      <c r="BL123" s="137"/>
      <c r="BM123" s="137"/>
    </row>
    <row r="124" spans="2:65" s="138" customFormat="1" ht="28.5" customHeight="1">
      <c r="B124" s="194"/>
      <c r="C124" s="210">
        <v>66</v>
      </c>
      <c r="D124" s="210" t="s">
        <v>856</v>
      </c>
      <c r="E124" s="211" t="s">
        <v>977</v>
      </c>
      <c r="F124" s="380" t="s">
        <v>976</v>
      </c>
      <c r="G124" s="380"/>
      <c r="H124" s="380"/>
      <c r="I124" s="380"/>
      <c r="J124" s="212" t="s">
        <v>207</v>
      </c>
      <c r="K124" s="213">
        <v>2</v>
      </c>
      <c r="L124" s="381">
        <v>0</v>
      </c>
      <c r="M124" s="381"/>
      <c r="N124" s="381">
        <f>ROUND(L124*K124,2)</f>
        <v>0</v>
      </c>
      <c r="O124" s="381"/>
      <c r="P124" s="381"/>
      <c r="Q124" s="381"/>
      <c r="R124" s="198"/>
      <c r="T124" s="199"/>
      <c r="U124" s="200"/>
      <c r="V124" s="201"/>
      <c r="W124" s="201"/>
      <c r="X124" s="201"/>
      <c r="Y124" s="201"/>
      <c r="Z124" s="201"/>
      <c r="AA124" s="202"/>
      <c r="AR124" s="137"/>
      <c r="AT124" s="137"/>
      <c r="AU124" s="137"/>
      <c r="AY124" s="137"/>
      <c r="BE124" s="203"/>
      <c r="BF124" s="203"/>
      <c r="BG124" s="203"/>
      <c r="BH124" s="203"/>
      <c r="BI124" s="203"/>
      <c r="BJ124" s="137"/>
      <c r="BK124" s="203"/>
      <c r="BL124" s="137"/>
      <c r="BM124" s="137"/>
    </row>
    <row r="125" spans="2:65" s="138" customFormat="1" ht="28.5" customHeight="1">
      <c r="B125" s="194"/>
      <c r="C125" s="187">
        <v>67</v>
      </c>
      <c r="D125" s="187" t="s">
        <v>839</v>
      </c>
      <c r="E125" s="188" t="s">
        <v>978</v>
      </c>
      <c r="F125" s="373" t="s">
        <v>979</v>
      </c>
      <c r="G125" s="373"/>
      <c r="H125" s="373"/>
      <c r="I125" s="373"/>
      <c r="J125" s="189" t="s">
        <v>721</v>
      </c>
      <c r="K125" s="190">
        <v>1</v>
      </c>
      <c r="L125" s="374">
        <v>0</v>
      </c>
      <c r="M125" s="374"/>
      <c r="N125" s="374">
        <f>ROUND(L125*K125,2)</f>
        <v>0</v>
      </c>
      <c r="O125" s="374"/>
      <c r="P125" s="374"/>
      <c r="Q125" s="374"/>
      <c r="R125" s="198"/>
      <c r="T125" s="199"/>
      <c r="U125" s="200"/>
      <c r="V125" s="201"/>
      <c r="W125" s="201"/>
      <c r="X125" s="201"/>
      <c r="Y125" s="201"/>
      <c r="Z125" s="201"/>
      <c r="AA125" s="202"/>
      <c r="AR125" s="137"/>
      <c r="AT125" s="137"/>
      <c r="AU125" s="137"/>
      <c r="AY125" s="137"/>
      <c r="BE125" s="203"/>
      <c r="BF125" s="203"/>
      <c r="BG125" s="203"/>
      <c r="BH125" s="203"/>
      <c r="BI125" s="203"/>
      <c r="BJ125" s="137"/>
      <c r="BK125" s="203"/>
      <c r="BL125" s="137"/>
      <c r="BM125" s="137"/>
    </row>
    <row r="126" spans="2:65" s="138" customFormat="1" ht="28.5" customHeight="1">
      <c r="B126" s="194"/>
      <c r="C126" s="210">
        <v>68</v>
      </c>
      <c r="D126" s="210" t="s">
        <v>856</v>
      </c>
      <c r="E126" s="211" t="s">
        <v>980</v>
      </c>
      <c r="F126" s="380" t="s">
        <v>979</v>
      </c>
      <c r="G126" s="380"/>
      <c r="H126" s="380"/>
      <c r="I126" s="380"/>
      <c r="J126" s="212" t="s">
        <v>721</v>
      </c>
      <c r="K126" s="213">
        <v>1</v>
      </c>
      <c r="L126" s="381">
        <v>0</v>
      </c>
      <c r="M126" s="381"/>
      <c r="N126" s="381">
        <f>ROUND(L126*K126,2)</f>
        <v>0</v>
      </c>
      <c r="O126" s="381"/>
      <c r="P126" s="381"/>
      <c r="Q126" s="381"/>
      <c r="R126" s="198"/>
      <c r="T126" s="199"/>
      <c r="U126" s="200"/>
      <c r="V126" s="201"/>
      <c r="W126" s="201"/>
      <c r="X126" s="201"/>
      <c r="Y126" s="201"/>
      <c r="Z126" s="201"/>
      <c r="AA126" s="202"/>
      <c r="AR126" s="137"/>
      <c r="AT126" s="137"/>
      <c r="AU126" s="137"/>
      <c r="AY126" s="137"/>
      <c r="BE126" s="203"/>
      <c r="BF126" s="203"/>
      <c r="BG126" s="203"/>
      <c r="BH126" s="203"/>
      <c r="BI126" s="203"/>
      <c r="BJ126" s="137"/>
      <c r="BK126" s="203"/>
      <c r="BL126" s="137"/>
      <c r="BM126" s="137"/>
    </row>
    <row r="127" spans="2:63" s="176" customFormat="1" ht="29.25" customHeight="1">
      <c r="B127" s="177"/>
      <c r="D127" s="186" t="s">
        <v>813</v>
      </c>
      <c r="E127" s="186"/>
      <c r="F127" s="186"/>
      <c r="G127" s="186"/>
      <c r="H127" s="186"/>
      <c r="I127" s="186"/>
      <c r="J127" s="186"/>
      <c r="K127" s="186"/>
      <c r="L127" s="186"/>
      <c r="M127" s="186"/>
      <c r="N127" s="377">
        <f>N128+N129+N130+N131+N132</f>
        <v>0</v>
      </c>
      <c r="O127" s="377"/>
      <c r="P127" s="377"/>
      <c r="Q127" s="377"/>
      <c r="R127" s="179"/>
      <c r="T127" s="180"/>
      <c r="W127" s="181">
        <f>SUM(W128:W130)</f>
        <v>0</v>
      </c>
      <c r="Y127" s="181">
        <f>SUM(Y128:Y130)</f>
        <v>0</v>
      </c>
      <c r="AA127" s="182">
        <f>SUM(AA128:AA130)</f>
        <v>0</v>
      </c>
      <c r="AR127" s="183" t="s">
        <v>177</v>
      </c>
      <c r="AT127" s="184" t="s">
        <v>835</v>
      </c>
      <c r="AU127" s="184" t="s">
        <v>163</v>
      </c>
      <c r="AY127" s="183" t="s">
        <v>837</v>
      </c>
      <c r="BK127" s="185">
        <f>SUM(BK128:BK130)</f>
        <v>0</v>
      </c>
    </row>
    <row r="128" spans="2:65" s="138" customFormat="1" ht="28.5" customHeight="1">
      <c r="B128" s="194"/>
      <c r="C128" s="187">
        <v>69</v>
      </c>
      <c r="D128" s="187" t="s">
        <v>839</v>
      </c>
      <c r="E128" s="188" t="s">
        <v>981</v>
      </c>
      <c r="F128" s="373" t="s">
        <v>982</v>
      </c>
      <c r="G128" s="373"/>
      <c r="H128" s="373"/>
      <c r="I128" s="373"/>
      <c r="J128" s="189" t="s">
        <v>207</v>
      </c>
      <c r="K128" s="190">
        <f>K129+K130</f>
        <v>5</v>
      </c>
      <c r="L128" s="374">
        <v>0</v>
      </c>
      <c r="M128" s="374"/>
      <c r="N128" s="374">
        <f>ROUND(L128*K128,2)</f>
        <v>0</v>
      </c>
      <c r="O128" s="374"/>
      <c r="P128" s="374"/>
      <c r="Q128" s="374"/>
      <c r="R128" s="198"/>
      <c r="T128" s="199"/>
      <c r="U128" s="200"/>
      <c r="V128" s="201"/>
      <c r="W128" s="201"/>
      <c r="X128" s="201"/>
      <c r="Y128" s="201"/>
      <c r="Z128" s="201"/>
      <c r="AA128" s="202"/>
      <c r="AR128" s="137"/>
      <c r="AT128" s="137"/>
      <c r="AU128" s="137"/>
      <c r="AY128" s="137"/>
      <c r="BE128" s="203"/>
      <c r="BF128" s="203"/>
      <c r="BG128" s="203"/>
      <c r="BH128" s="203"/>
      <c r="BI128" s="203"/>
      <c r="BJ128" s="137"/>
      <c r="BK128" s="203"/>
      <c r="BL128" s="137"/>
      <c r="BM128" s="137"/>
    </row>
    <row r="129" spans="2:65" s="138" customFormat="1" ht="39.75" customHeight="1">
      <c r="B129" s="194"/>
      <c r="C129" s="205">
        <v>70</v>
      </c>
      <c r="D129" s="210" t="s">
        <v>856</v>
      </c>
      <c r="E129" s="211" t="s">
        <v>983</v>
      </c>
      <c r="F129" s="380" t="s">
        <v>984</v>
      </c>
      <c r="G129" s="380"/>
      <c r="H129" s="380"/>
      <c r="I129" s="380"/>
      <c r="J129" s="212" t="s">
        <v>207</v>
      </c>
      <c r="K129" s="213">
        <v>4</v>
      </c>
      <c r="L129" s="381">
        <v>0</v>
      </c>
      <c r="M129" s="381"/>
      <c r="N129" s="381">
        <f>ROUND(L129*K129,2)</f>
        <v>0</v>
      </c>
      <c r="O129" s="381"/>
      <c r="P129" s="381"/>
      <c r="Q129" s="381"/>
      <c r="R129" s="198"/>
      <c r="T129" s="199"/>
      <c r="U129" s="200"/>
      <c r="V129" s="201"/>
      <c r="W129" s="201"/>
      <c r="X129" s="201"/>
      <c r="Y129" s="201"/>
      <c r="Z129" s="201"/>
      <c r="AA129" s="202"/>
      <c r="AR129" s="137"/>
      <c r="AT129" s="137"/>
      <c r="AU129" s="137"/>
      <c r="AY129" s="137"/>
      <c r="BE129" s="203"/>
      <c r="BF129" s="203"/>
      <c r="BG129" s="203"/>
      <c r="BH129" s="203"/>
      <c r="BI129" s="203"/>
      <c r="BJ129" s="137"/>
      <c r="BK129" s="203"/>
      <c r="BL129" s="137"/>
      <c r="BM129" s="137"/>
    </row>
    <row r="130" spans="2:65" s="138" customFormat="1" ht="39.75" customHeight="1">
      <c r="B130" s="194"/>
      <c r="C130" s="205">
        <v>71</v>
      </c>
      <c r="D130" s="210" t="s">
        <v>856</v>
      </c>
      <c r="E130" s="211" t="s">
        <v>985</v>
      </c>
      <c r="F130" s="380" t="s">
        <v>986</v>
      </c>
      <c r="G130" s="380"/>
      <c r="H130" s="380"/>
      <c r="I130" s="380"/>
      <c r="J130" s="212" t="s">
        <v>207</v>
      </c>
      <c r="K130" s="213">
        <v>1</v>
      </c>
      <c r="L130" s="381">
        <v>0</v>
      </c>
      <c r="M130" s="381"/>
      <c r="N130" s="381">
        <f>ROUND(L130*K130,2)</f>
        <v>0</v>
      </c>
      <c r="O130" s="381"/>
      <c r="P130" s="381"/>
      <c r="Q130" s="381"/>
      <c r="R130" s="198"/>
      <c r="T130" s="199"/>
      <c r="U130" s="200"/>
      <c r="V130" s="201"/>
      <c r="W130" s="201"/>
      <c r="X130" s="201"/>
      <c r="Y130" s="201"/>
      <c r="Z130" s="201"/>
      <c r="AA130" s="202"/>
      <c r="AR130" s="137"/>
      <c r="AT130" s="137"/>
      <c r="AU130" s="137"/>
      <c r="AY130" s="137"/>
      <c r="BE130" s="203"/>
      <c r="BF130" s="203"/>
      <c r="BG130" s="203"/>
      <c r="BH130" s="203"/>
      <c r="BI130" s="203"/>
      <c r="BJ130" s="137"/>
      <c r="BK130" s="203"/>
      <c r="BL130" s="137"/>
      <c r="BM130" s="137"/>
    </row>
    <row r="131" spans="2:65" s="138" customFormat="1" ht="36" customHeight="1">
      <c r="B131" s="194"/>
      <c r="C131" s="187">
        <v>72</v>
      </c>
      <c r="D131" s="187" t="s">
        <v>839</v>
      </c>
      <c r="E131" s="188" t="s">
        <v>987</v>
      </c>
      <c r="F131" s="373" t="s">
        <v>988</v>
      </c>
      <c r="G131" s="373"/>
      <c r="H131" s="373"/>
      <c r="I131" s="373"/>
      <c r="J131" s="189" t="s">
        <v>388</v>
      </c>
      <c r="K131" s="190">
        <v>1</v>
      </c>
      <c r="L131" s="374">
        <v>0</v>
      </c>
      <c r="M131" s="374"/>
      <c r="N131" s="374">
        <f>ROUND(L131*K131,2)</f>
        <v>0</v>
      </c>
      <c r="O131" s="374"/>
      <c r="P131" s="374"/>
      <c r="Q131" s="374"/>
      <c r="R131" s="198"/>
      <c r="T131" s="214"/>
      <c r="U131" s="200"/>
      <c r="V131" s="201"/>
      <c r="W131" s="201"/>
      <c r="X131" s="201"/>
      <c r="Y131" s="201"/>
      <c r="Z131" s="201"/>
      <c r="AA131" s="202"/>
      <c r="AR131" s="137"/>
      <c r="AT131" s="137"/>
      <c r="AU131" s="137"/>
      <c r="AY131" s="137"/>
      <c r="BE131" s="203"/>
      <c r="BF131" s="203"/>
      <c r="BG131" s="203"/>
      <c r="BH131" s="203"/>
      <c r="BI131" s="203"/>
      <c r="BJ131" s="137"/>
      <c r="BK131" s="203"/>
      <c r="BL131" s="137"/>
      <c r="BM131" s="137"/>
    </row>
    <row r="132" spans="2:65" s="138" customFormat="1" ht="36" customHeight="1">
      <c r="B132" s="194"/>
      <c r="C132" s="187">
        <v>73</v>
      </c>
      <c r="D132" s="187" t="s">
        <v>839</v>
      </c>
      <c r="E132" s="188" t="s">
        <v>989</v>
      </c>
      <c r="F132" s="373" t="s">
        <v>990</v>
      </c>
      <c r="G132" s="373"/>
      <c r="H132" s="373"/>
      <c r="I132" s="373"/>
      <c r="J132" s="189" t="s">
        <v>388</v>
      </c>
      <c r="K132" s="190">
        <v>1</v>
      </c>
      <c r="L132" s="374">
        <v>0</v>
      </c>
      <c r="M132" s="374"/>
      <c r="N132" s="374">
        <f>ROUND(L132*K132,2)</f>
        <v>0</v>
      </c>
      <c r="O132" s="374"/>
      <c r="P132" s="374"/>
      <c r="Q132" s="374"/>
      <c r="R132" s="198"/>
      <c r="T132" s="214"/>
      <c r="U132" s="200"/>
      <c r="V132" s="201"/>
      <c r="W132" s="201"/>
      <c r="X132" s="201"/>
      <c r="Y132" s="201"/>
      <c r="Z132" s="201"/>
      <c r="AA132" s="202"/>
      <c r="AR132" s="137"/>
      <c r="AT132" s="137"/>
      <c r="AU132" s="137"/>
      <c r="AY132" s="137"/>
      <c r="BE132" s="203"/>
      <c r="BF132" s="203"/>
      <c r="BG132" s="203"/>
      <c r="BH132" s="203"/>
      <c r="BI132" s="203"/>
      <c r="BJ132" s="137"/>
      <c r="BK132" s="203"/>
      <c r="BL132" s="137"/>
      <c r="BM132" s="137"/>
    </row>
    <row r="133" spans="2:63" s="176" customFormat="1" ht="29.25" customHeight="1">
      <c r="B133" s="177"/>
      <c r="D133" s="186" t="s">
        <v>814</v>
      </c>
      <c r="E133" s="186"/>
      <c r="F133" s="186"/>
      <c r="G133" s="186"/>
      <c r="H133" s="186"/>
      <c r="I133" s="186"/>
      <c r="J133" s="186"/>
      <c r="K133" s="186"/>
      <c r="L133" s="186"/>
      <c r="M133" s="186"/>
      <c r="N133" s="377">
        <f>N134+N135</f>
        <v>0</v>
      </c>
      <c r="O133" s="377"/>
      <c r="P133" s="377"/>
      <c r="Q133" s="377"/>
      <c r="R133" s="179"/>
      <c r="T133" s="180"/>
      <c r="W133" s="181">
        <f>SUM(W134:W135)</f>
        <v>0</v>
      </c>
      <c r="Y133" s="181">
        <f>SUM(Y134:Y135)</f>
        <v>0</v>
      </c>
      <c r="AA133" s="182">
        <f>SUM(AA134:AA135)</f>
        <v>0</v>
      </c>
      <c r="AR133" s="183" t="s">
        <v>177</v>
      </c>
      <c r="AT133" s="184" t="s">
        <v>835</v>
      </c>
      <c r="AU133" s="184" t="s">
        <v>163</v>
      </c>
      <c r="AY133" s="183" t="s">
        <v>837</v>
      </c>
      <c r="BK133" s="185">
        <f>SUM(BK134:BK135)</f>
        <v>0</v>
      </c>
    </row>
    <row r="134" spans="2:65" s="138" customFormat="1" ht="39.75" customHeight="1">
      <c r="B134" s="194"/>
      <c r="C134" s="195">
        <v>74</v>
      </c>
      <c r="D134" s="195" t="s">
        <v>839</v>
      </c>
      <c r="E134" s="204" t="s">
        <v>991</v>
      </c>
      <c r="F134" s="375" t="s">
        <v>992</v>
      </c>
      <c r="G134" s="375"/>
      <c r="H134" s="375"/>
      <c r="I134" s="375"/>
      <c r="J134" s="196" t="s">
        <v>207</v>
      </c>
      <c r="K134" s="197">
        <v>1</v>
      </c>
      <c r="L134" s="376">
        <v>0</v>
      </c>
      <c r="M134" s="376"/>
      <c r="N134" s="376">
        <f>ROUND(L134*K134,2)</f>
        <v>0</v>
      </c>
      <c r="O134" s="376"/>
      <c r="P134" s="376"/>
      <c r="Q134" s="376"/>
      <c r="R134" s="198"/>
      <c r="T134" s="199"/>
      <c r="U134" s="200"/>
      <c r="V134" s="201"/>
      <c r="W134" s="201"/>
      <c r="X134" s="201"/>
      <c r="Y134" s="201"/>
      <c r="Z134" s="201"/>
      <c r="AA134" s="202"/>
      <c r="AR134" s="137"/>
      <c r="AT134" s="137"/>
      <c r="AU134" s="137"/>
      <c r="AY134" s="137"/>
      <c r="BE134" s="203"/>
      <c r="BF134" s="203"/>
      <c r="BG134" s="203"/>
      <c r="BH134" s="203"/>
      <c r="BI134" s="203"/>
      <c r="BJ134" s="137"/>
      <c r="BK134" s="203"/>
      <c r="BL134" s="137"/>
      <c r="BM134" s="137"/>
    </row>
    <row r="135" spans="2:65" s="138" customFormat="1" ht="39.75" customHeight="1">
      <c r="B135" s="194"/>
      <c r="C135" s="205">
        <v>75</v>
      </c>
      <c r="D135" s="205" t="s">
        <v>856</v>
      </c>
      <c r="E135" s="206" t="s">
        <v>993</v>
      </c>
      <c r="F135" s="378" t="s">
        <v>994</v>
      </c>
      <c r="G135" s="378"/>
      <c r="H135" s="378"/>
      <c r="I135" s="378"/>
      <c r="J135" s="207" t="s">
        <v>616</v>
      </c>
      <c r="K135" s="208">
        <v>1</v>
      </c>
      <c r="L135" s="379">
        <v>0</v>
      </c>
      <c r="M135" s="379"/>
      <c r="N135" s="379">
        <f>ROUND(L135*K135,2)</f>
        <v>0</v>
      </c>
      <c r="O135" s="379"/>
      <c r="P135" s="379"/>
      <c r="Q135" s="379"/>
      <c r="R135" s="198"/>
      <c r="T135" s="199"/>
      <c r="U135" s="200"/>
      <c r="V135" s="201"/>
      <c r="W135" s="201"/>
      <c r="X135" s="201"/>
      <c r="Y135" s="201"/>
      <c r="Z135" s="201"/>
      <c r="AA135" s="202"/>
      <c r="AR135" s="137"/>
      <c r="AT135" s="137"/>
      <c r="AU135" s="137"/>
      <c r="AY135" s="137"/>
      <c r="BE135" s="203"/>
      <c r="BF135" s="203"/>
      <c r="BG135" s="203"/>
      <c r="BH135" s="203"/>
      <c r="BI135" s="203"/>
      <c r="BJ135" s="137"/>
      <c r="BK135" s="203"/>
      <c r="BL135" s="137"/>
      <c r="BM135" s="137"/>
    </row>
    <row r="136" spans="2:63" s="176" customFormat="1" ht="36.75" customHeight="1">
      <c r="B136" s="177"/>
      <c r="D136" s="178" t="s">
        <v>815</v>
      </c>
      <c r="E136" s="178"/>
      <c r="F136" s="178"/>
      <c r="G136" s="178"/>
      <c r="H136" s="178"/>
      <c r="I136" s="178"/>
      <c r="J136" s="178"/>
      <c r="K136" s="178"/>
      <c r="L136" s="178"/>
      <c r="M136" s="178"/>
      <c r="N136" s="382">
        <f>N137+N140+N142</f>
        <v>0</v>
      </c>
      <c r="O136" s="382"/>
      <c r="P136" s="382"/>
      <c r="Q136" s="382"/>
      <c r="R136" s="179"/>
      <c r="T136" s="180"/>
      <c r="W136" s="181">
        <f>W137+W140+W142</f>
        <v>0</v>
      </c>
      <c r="Y136" s="181">
        <f>Y137+Y140+Y142</f>
        <v>0</v>
      </c>
      <c r="AA136" s="182">
        <f>AA137+AA140+AA142</f>
        <v>0</v>
      </c>
      <c r="AR136" s="183" t="s">
        <v>194</v>
      </c>
      <c r="AT136" s="184" t="s">
        <v>835</v>
      </c>
      <c r="AU136" s="184" t="s">
        <v>836</v>
      </c>
      <c r="AY136" s="183" t="s">
        <v>837</v>
      </c>
      <c r="BK136" s="185">
        <f>BK137+BK140+BK142</f>
        <v>0</v>
      </c>
    </row>
    <row r="137" spans="2:63" s="176" customFormat="1" ht="19.5" customHeight="1">
      <c r="B137" s="177"/>
      <c r="D137" s="186" t="s">
        <v>816</v>
      </c>
      <c r="E137" s="186"/>
      <c r="F137" s="186"/>
      <c r="G137" s="186"/>
      <c r="H137" s="186"/>
      <c r="I137" s="186"/>
      <c r="J137" s="186"/>
      <c r="K137" s="186"/>
      <c r="L137" s="186"/>
      <c r="M137" s="186"/>
      <c r="N137" s="372">
        <f>N138+N139</f>
        <v>0</v>
      </c>
      <c r="O137" s="372"/>
      <c r="P137" s="372"/>
      <c r="Q137" s="372"/>
      <c r="R137" s="179"/>
      <c r="T137" s="180"/>
      <c r="W137" s="181">
        <f>W138</f>
        <v>0</v>
      </c>
      <c r="Y137" s="181">
        <f>Y138</f>
        <v>0</v>
      </c>
      <c r="AA137" s="182">
        <f>AA138</f>
        <v>0</v>
      </c>
      <c r="AR137" s="183" t="s">
        <v>194</v>
      </c>
      <c r="AT137" s="184" t="s">
        <v>835</v>
      </c>
      <c r="AU137" s="184" t="s">
        <v>163</v>
      </c>
      <c r="AY137" s="183" t="s">
        <v>837</v>
      </c>
      <c r="BK137" s="185">
        <f>BK138</f>
        <v>0</v>
      </c>
    </row>
    <row r="138" spans="2:65" s="138" customFormat="1" ht="28.5" customHeight="1">
      <c r="B138" s="194"/>
      <c r="C138" s="195">
        <v>76</v>
      </c>
      <c r="D138" s="195" t="s">
        <v>839</v>
      </c>
      <c r="E138" s="204" t="s">
        <v>995</v>
      </c>
      <c r="F138" s="375" t="s">
        <v>996</v>
      </c>
      <c r="G138" s="375"/>
      <c r="H138" s="375"/>
      <c r="I138" s="375"/>
      <c r="J138" s="196" t="s">
        <v>388</v>
      </c>
      <c r="K138" s="197">
        <v>1</v>
      </c>
      <c r="L138" s="376">
        <v>0</v>
      </c>
      <c r="M138" s="376"/>
      <c r="N138" s="376">
        <f>ROUND(L138*K138,2)</f>
        <v>0</v>
      </c>
      <c r="O138" s="376"/>
      <c r="P138" s="376"/>
      <c r="Q138" s="376"/>
      <c r="R138" s="198"/>
      <c r="T138" s="199"/>
      <c r="U138" s="200" t="s">
        <v>852</v>
      </c>
      <c r="V138" s="201">
        <v>0</v>
      </c>
      <c r="W138" s="201">
        <f>V138*K138</f>
        <v>0</v>
      </c>
      <c r="X138" s="201">
        <v>0</v>
      </c>
      <c r="Y138" s="201">
        <f>X138*K138</f>
        <v>0</v>
      </c>
      <c r="Z138" s="201">
        <v>0</v>
      </c>
      <c r="AA138" s="202">
        <f>Z138*K138</f>
        <v>0</v>
      </c>
      <c r="AR138" s="137" t="s">
        <v>997</v>
      </c>
      <c r="AT138" s="137" t="s">
        <v>839</v>
      </c>
      <c r="AU138" s="137" t="s">
        <v>177</v>
      </c>
      <c r="AY138" s="137" t="s">
        <v>837</v>
      </c>
      <c r="BE138" s="203">
        <f>IF(U138="základní",N138,0)</f>
        <v>0</v>
      </c>
      <c r="BF138" s="203">
        <f>IF(U138="snížená",N138,0)</f>
        <v>0</v>
      </c>
      <c r="BG138" s="203">
        <f>IF(U138="zákl. přenesená",N138,0)</f>
        <v>0</v>
      </c>
      <c r="BH138" s="203">
        <f>IF(U138="sníž. přenesená",N138,0)</f>
        <v>0</v>
      </c>
      <c r="BI138" s="203">
        <f>IF(U138="nulová",N138,0)</f>
        <v>0</v>
      </c>
      <c r="BJ138" s="137" t="s">
        <v>163</v>
      </c>
      <c r="BK138" s="203">
        <f>ROUND(L138*K138,2)</f>
        <v>0</v>
      </c>
      <c r="BL138" s="137" t="s">
        <v>997</v>
      </c>
      <c r="BM138" s="137" t="s">
        <v>998</v>
      </c>
    </row>
    <row r="139" spans="2:65" s="138" customFormat="1" ht="28.5" customHeight="1">
      <c r="B139" s="194"/>
      <c r="C139" s="195">
        <v>77</v>
      </c>
      <c r="D139" s="195" t="s">
        <v>839</v>
      </c>
      <c r="E139" s="204" t="s">
        <v>999</v>
      </c>
      <c r="F139" s="375" t="s">
        <v>1000</v>
      </c>
      <c r="G139" s="375"/>
      <c r="H139" s="375"/>
      <c r="I139" s="375"/>
      <c r="J139" s="196" t="s">
        <v>388</v>
      </c>
      <c r="K139" s="197">
        <v>1</v>
      </c>
      <c r="L139" s="376">
        <v>0</v>
      </c>
      <c r="M139" s="376"/>
      <c r="N139" s="376">
        <f>ROUND(L139*K139,2)</f>
        <v>0</v>
      </c>
      <c r="O139" s="376"/>
      <c r="P139" s="376"/>
      <c r="Q139" s="376"/>
      <c r="R139" s="198"/>
      <c r="T139" s="214"/>
      <c r="U139" s="200"/>
      <c r="V139" s="201"/>
      <c r="W139" s="201"/>
      <c r="X139" s="201"/>
      <c r="Y139" s="201"/>
      <c r="Z139" s="201"/>
      <c r="AA139" s="202"/>
      <c r="AR139" s="137"/>
      <c r="AT139" s="137"/>
      <c r="AU139" s="137"/>
      <c r="AY139" s="137"/>
      <c r="BE139" s="203"/>
      <c r="BF139" s="203"/>
      <c r="BG139" s="203"/>
      <c r="BH139" s="203"/>
      <c r="BI139" s="203"/>
      <c r="BJ139" s="137"/>
      <c r="BK139" s="203"/>
      <c r="BL139" s="137"/>
      <c r="BM139" s="137"/>
    </row>
    <row r="140" spans="2:63" s="176" customFormat="1" ht="29.25" customHeight="1">
      <c r="B140" s="177"/>
      <c r="D140" s="186" t="s">
        <v>817</v>
      </c>
      <c r="E140" s="186"/>
      <c r="F140" s="186"/>
      <c r="G140" s="186"/>
      <c r="H140" s="186"/>
      <c r="I140" s="186"/>
      <c r="J140" s="186"/>
      <c r="K140" s="186"/>
      <c r="L140" s="186"/>
      <c r="M140" s="186"/>
      <c r="N140" s="377">
        <f>N141</f>
        <v>0</v>
      </c>
      <c r="O140" s="377"/>
      <c r="P140" s="377"/>
      <c r="Q140" s="377"/>
      <c r="R140" s="179"/>
      <c r="T140" s="180"/>
      <c r="W140" s="181">
        <f>W141</f>
        <v>0</v>
      </c>
      <c r="Y140" s="181">
        <f>Y141</f>
        <v>0</v>
      </c>
      <c r="AA140" s="182">
        <f>AA141</f>
        <v>0</v>
      </c>
      <c r="AR140" s="183" t="s">
        <v>194</v>
      </c>
      <c r="AT140" s="184" t="s">
        <v>835</v>
      </c>
      <c r="AU140" s="184" t="s">
        <v>163</v>
      </c>
      <c r="AY140" s="183" t="s">
        <v>837</v>
      </c>
      <c r="BK140" s="185">
        <f>BK141</f>
        <v>0</v>
      </c>
    </row>
    <row r="141" spans="2:65" s="138" customFormat="1" ht="20.25" customHeight="1">
      <c r="B141" s="194"/>
      <c r="C141" s="195">
        <v>78</v>
      </c>
      <c r="D141" s="195" t="s">
        <v>839</v>
      </c>
      <c r="E141" s="204" t="s">
        <v>1001</v>
      </c>
      <c r="F141" s="375" t="s">
        <v>1002</v>
      </c>
      <c r="G141" s="375"/>
      <c r="H141" s="375"/>
      <c r="I141" s="375"/>
      <c r="J141" s="196" t="s">
        <v>388</v>
      </c>
      <c r="K141" s="197">
        <v>1</v>
      </c>
      <c r="L141" s="376">
        <v>0</v>
      </c>
      <c r="M141" s="376"/>
      <c r="N141" s="376">
        <f>ROUND(L141*K141,2)</f>
        <v>0</v>
      </c>
      <c r="O141" s="376"/>
      <c r="P141" s="376"/>
      <c r="Q141" s="376"/>
      <c r="R141" s="198"/>
      <c r="T141" s="199"/>
      <c r="U141" s="200" t="s">
        <v>852</v>
      </c>
      <c r="V141" s="201">
        <v>0</v>
      </c>
      <c r="W141" s="201">
        <f>V141*K141</f>
        <v>0</v>
      </c>
      <c r="X141" s="201">
        <v>0</v>
      </c>
      <c r="Y141" s="201">
        <f>X141*K141</f>
        <v>0</v>
      </c>
      <c r="Z141" s="201">
        <v>0</v>
      </c>
      <c r="AA141" s="202">
        <f>Z141*K141</f>
        <v>0</v>
      </c>
      <c r="AR141" s="137" t="s">
        <v>997</v>
      </c>
      <c r="AT141" s="137" t="s">
        <v>839</v>
      </c>
      <c r="AU141" s="137" t="s">
        <v>177</v>
      </c>
      <c r="AY141" s="137" t="s">
        <v>837</v>
      </c>
      <c r="BE141" s="203">
        <f>IF(U141="základní",N141,0)</f>
        <v>0</v>
      </c>
      <c r="BF141" s="203">
        <f>IF(U141="snížená",N141,0)</f>
        <v>0</v>
      </c>
      <c r="BG141" s="203">
        <f>IF(U141="zákl. přenesená",N141,0)</f>
        <v>0</v>
      </c>
      <c r="BH141" s="203">
        <f>IF(U141="sníž. přenesená",N141,0)</f>
        <v>0</v>
      </c>
      <c r="BI141" s="203">
        <f>IF(U141="nulová",N141,0)</f>
        <v>0</v>
      </c>
      <c r="BJ141" s="137" t="s">
        <v>163</v>
      </c>
      <c r="BK141" s="203">
        <f>ROUND(L141*K141,2)</f>
        <v>0</v>
      </c>
      <c r="BL141" s="137" t="s">
        <v>997</v>
      </c>
      <c r="BM141" s="137" t="s">
        <v>1003</v>
      </c>
    </row>
    <row r="142" spans="2:63" s="176" customFormat="1" ht="29.25" customHeight="1">
      <c r="B142" s="177"/>
      <c r="D142" s="186" t="s">
        <v>818</v>
      </c>
      <c r="E142" s="186"/>
      <c r="F142" s="186"/>
      <c r="G142" s="186"/>
      <c r="H142" s="186"/>
      <c r="I142" s="186"/>
      <c r="J142" s="186"/>
      <c r="K142" s="186"/>
      <c r="L142" s="186"/>
      <c r="M142" s="186"/>
      <c r="N142" s="377">
        <f>N143+N144+N145+N149+N147+N148+N146</f>
        <v>0</v>
      </c>
      <c r="O142" s="377"/>
      <c r="P142" s="377"/>
      <c r="Q142" s="377"/>
      <c r="R142" s="179"/>
      <c r="T142" s="180"/>
      <c r="W142" s="181">
        <f>SUM(W143:W149)</f>
        <v>0</v>
      </c>
      <c r="Y142" s="181">
        <f>SUM(Y143:Y149)</f>
        <v>0</v>
      </c>
      <c r="AA142" s="182">
        <f>SUM(AA143:AA149)</f>
        <v>0</v>
      </c>
      <c r="AR142" s="183" t="s">
        <v>194</v>
      </c>
      <c r="AT142" s="184" t="s">
        <v>835</v>
      </c>
      <c r="AU142" s="184" t="s">
        <v>163</v>
      </c>
      <c r="AY142" s="183" t="s">
        <v>837</v>
      </c>
      <c r="BK142" s="185">
        <f>SUM(BK143:BK149)</f>
        <v>0</v>
      </c>
    </row>
    <row r="143" spans="2:65" s="138" customFormat="1" ht="20.25" customHeight="1">
      <c r="B143" s="194"/>
      <c r="C143" s="195">
        <v>79</v>
      </c>
      <c r="D143" s="195" t="s">
        <v>839</v>
      </c>
      <c r="E143" s="204" t="s">
        <v>1004</v>
      </c>
      <c r="F143" s="375" t="s">
        <v>1005</v>
      </c>
      <c r="G143" s="375"/>
      <c r="H143" s="375"/>
      <c r="I143" s="375"/>
      <c r="J143" s="196" t="s">
        <v>388</v>
      </c>
      <c r="K143" s="197">
        <v>1</v>
      </c>
      <c r="L143" s="376">
        <v>0</v>
      </c>
      <c r="M143" s="376"/>
      <c r="N143" s="376">
        <f aca="true" t="shared" si="5" ref="N143:N149">ROUND(L143*K143,2)</f>
        <v>0</v>
      </c>
      <c r="O143" s="376"/>
      <c r="P143" s="376"/>
      <c r="Q143" s="376"/>
      <c r="R143" s="198"/>
      <c r="T143" s="199"/>
      <c r="U143" s="200" t="s">
        <v>852</v>
      </c>
      <c r="V143" s="201">
        <v>0</v>
      </c>
      <c r="W143" s="201">
        <f>V143*K143</f>
        <v>0</v>
      </c>
      <c r="X143" s="201">
        <v>0</v>
      </c>
      <c r="Y143" s="201">
        <f>X143*K143</f>
        <v>0</v>
      </c>
      <c r="Z143" s="201">
        <v>0</v>
      </c>
      <c r="AA143" s="202">
        <f>Z143*K143</f>
        <v>0</v>
      </c>
      <c r="AR143" s="137" t="s">
        <v>997</v>
      </c>
      <c r="AT143" s="137" t="s">
        <v>839</v>
      </c>
      <c r="AU143" s="137" t="s">
        <v>177</v>
      </c>
      <c r="AY143" s="137" t="s">
        <v>837</v>
      </c>
      <c r="BE143" s="203">
        <f>IF(U143="základní",N143,0)</f>
        <v>0</v>
      </c>
      <c r="BF143" s="203">
        <f>IF(U143="snížená",N143,0)</f>
        <v>0</v>
      </c>
      <c r="BG143" s="203">
        <f>IF(U143="zákl. přenesená",N143,0)</f>
        <v>0</v>
      </c>
      <c r="BH143" s="203">
        <f>IF(U143="sníž. přenesená",N143,0)</f>
        <v>0</v>
      </c>
      <c r="BI143" s="203">
        <f>IF(U143="nulová",N143,0)</f>
        <v>0</v>
      </c>
      <c r="BJ143" s="137" t="s">
        <v>163</v>
      </c>
      <c r="BK143" s="203">
        <f>ROUND(L143*K143,2)</f>
        <v>0</v>
      </c>
      <c r="BL143" s="137" t="s">
        <v>997</v>
      </c>
      <c r="BM143" s="137" t="s">
        <v>1006</v>
      </c>
    </row>
    <row r="144" spans="2:65" s="138" customFormat="1" ht="20.25" customHeight="1">
      <c r="B144" s="194"/>
      <c r="C144" s="195">
        <v>80</v>
      </c>
      <c r="D144" s="195" t="s">
        <v>839</v>
      </c>
      <c r="E144" s="204" t="s">
        <v>1007</v>
      </c>
      <c r="F144" s="375" t="s">
        <v>1008</v>
      </c>
      <c r="G144" s="375"/>
      <c r="H144" s="375"/>
      <c r="I144" s="375"/>
      <c r="J144" s="196" t="s">
        <v>697</v>
      </c>
      <c r="K144" s="197">
        <v>20</v>
      </c>
      <c r="L144" s="376">
        <v>0</v>
      </c>
      <c r="M144" s="376"/>
      <c r="N144" s="376">
        <f t="shared" si="5"/>
        <v>0</v>
      </c>
      <c r="O144" s="376"/>
      <c r="P144" s="376"/>
      <c r="Q144" s="376"/>
      <c r="R144" s="198"/>
      <c r="T144" s="199"/>
      <c r="U144" s="200"/>
      <c r="V144" s="201"/>
      <c r="W144" s="201"/>
      <c r="X144" s="201"/>
      <c r="Y144" s="201"/>
      <c r="Z144" s="201"/>
      <c r="AA144" s="202"/>
      <c r="AR144" s="137"/>
      <c r="AT144" s="137"/>
      <c r="AU144" s="137"/>
      <c r="AY144" s="137"/>
      <c r="BE144" s="203"/>
      <c r="BF144" s="203"/>
      <c r="BG144" s="203"/>
      <c r="BH144" s="203"/>
      <c r="BI144" s="203"/>
      <c r="BJ144" s="137"/>
      <c r="BK144" s="203"/>
      <c r="BL144" s="137"/>
      <c r="BM144" s="137"/>
    </row>
    <row r="145" spans="2:65" s="138" customFormat="1" ht="30" customHeight="1">
      <c r="B145" s="194"/>
      <c r="C145" s="205">
        <v>81</v>
      </c>
      <c r="D145" s="205" t="s">
        <v>856</v>
      </c>
      <c r="E145" s="206" t="s">
        <v>1009</v>
      </c>
      <c r="F145" s="378" t="s">
        <v>1010</v>
      </c>
      <c r="G145" s="378"/>
      <c r="H145" s="378"/>
      <c r="I145" s="378"/>
      <c r="J145" s="207" t="s">
        <v>215</v>
      </c>
      <c r="K145" s="208">
        <v>42</v>
      </c>
      <c r="L145" s="379">
        <v>0</v>
      </c>
      <c r="M145" s="379"/>
      <c r="N145" s="379">
        <f t="shared" si="5"/>
        <v>0</v>
      </c>
      <c r="O145" s="379"/>
      <c r="P145" s="379"/>
      <c r="Q145" s="379"/>
      <c r="R145" s="198"/>
      <c r="T145" s="199"/>
      <c r="U145" s="200"/>
      <c r="V145" s="201"/>
      <c r="W145" s="201"/>
      <c r="X145" s="201"/>
      <c r="Y145" s="201"/>
      <c r="Z145" s="201"/>
      <c r="AA145" s="202"/>
      <c r="AR145" s="137"/>
      <c r="AT145" s="137"/>
      <c r="AU145" s="137"/>
      <c r="AY145" s="137"/>
      <c r="BE145" s="203"/>
      <c r="BF145" s="203"/>
      <c r="BG145" s="203"/>
      <c r="BH145" s="203"/>
      <c r="BI145" s="203"/>
      <c r="BJ145" s="137"/>
      <c r="BK145" s="203"/>
      <c r="BL145" s="137"/>
      <c r="BM145" s="137"/>
    </row>
    <row r="146" spans="2:65" s="138" customFormat="1" ht="49.5" customHeight="1">
      <c r="B146" s="194"/>
      <c r="C146" s="195">
        <v>82</v>
      </c>
      <c r="D146" s="195" t="s">
        <v>839</v>
      </c>
      <c r="E146" s="204" t="s">
        <v>1011</v>
      </c>
      <c r="F146" s="375" t="s">
        <v>1012</v>
      </c>
      <c r="G146" s="375"/>
      <c r="H146" s="375"/>
      <c r="I146" s="375"/>
      <c r="J146" s="196" t="s">
        <v>697</v>
      </c>
      <c r="K146" s="197">
        <v>10</v>
      </c>
      <c r="L146" s="376">
        <v>0</v>
      </c>
      <c r="M146" s="376"/>
      <c r="N146" s="376">
        <f t="shared" si="5"/>
        <v>0</v>
      </c>
      <c r="O146" s="376"/>
      <c r="P146" s="376"/>
      <c r="Q146" s="376"/>
      <c r="R146" s="198"/>
      <c r="T146" s="199"/>
      <c r="U146" s="200"/>
      <c r="V146" s="201"/>
      <c r="W146" s="201"/>
      <c r="X146" s="201"/>
      <c r="Y146" s="201"/>
      <c r="Z146" s="201"/>
      <c r="AA146" s="202"/>
      <c r="AR146" s="137"/>
      <c r="AT146" s="137"/>
      <c r="AU146" s="137"/>
      <c r="AY146" s="137"/>
      <c r="BE146" s="203"/>
      <c r="BF146" s="203"/>
      <c r="BG146" s="203"/>
      <c r="BH146" s="203"/>
      <c r="BI146" s="203"/>
      <c r="BJ146" s="137"/>
      <c r="BK146" s="203"/>
      <c r="BL146" s="137"/>
      <c r="BM146" s="137"/>
    </row>
    <row r="147" spans="2:65" s="138" customFormat="1" ht="30" customHeight="1">
      <c r="B147" s="194"/>
      <c r="C147" s="195">
        <v>83</v>
      </c>
      <c r="D147" s="195" t="s">
        <v>839</v>
      </c>
      <c r="E147" s="204" t="s">
        <v>1007</v>
      </c>
      <c r="F147" s="375" t="s">
        <v>1013</v>
      </c>
      <c r="G147" s="375"/>
      <c r="H147" s="375"/>
      <c r="I147" s="375"/>
      <c r="J147" s="196" t="s">
        <v>697</v>
      </c>
      <c r="K147" s="197">
        <v>20</v>
      </c>
      <c r="L147" s="376">
        <v>0</v>
      </c>
      <c r="M147" s="376"/>
      <c r="N147" s="376">
        <f t="shared" si="5"/>
        <v>0</v>
      </c>
      <c r="O147" s="376"/>
      <c r="P147" s="376"/>
      <c r="Q147" s="376"/>
      <c r="R147" s="198"/>
      <c r="T147" s="199"/>
      <c r="U147" s="200"/>
      <c r="V147" s="201"/>
      <c r="W147" s="201"/>
      <c r="X147" s="201"/>
      <c r="Y147" s="201"/>
      <c r="Z147" s="201"/>
      <c r="AA147" s="202"/>
      <c r="AR147" s="137"/>
      <c r="AT147" s="137"/>
      <c r="AU147" s="137"/>
      <c r="AY147" s="137"/>
      <c r="BE147" s="203"/>
      <c r="BF147" s="203"/>
      <c r="BG147" s="203"/>
      <c r="BH147" s="203"/>
      <c r="BI147" s="203"/>
      <c r="BJ147" s="137"/>
      <c r="BK147" s="203"/>
      <c r="BL147" s="137"/>
      <c r="BM147" s="137"/>
    </row>
    <row r="148" spans="2:65" s="138" customFormat="1" ht="30" customHeight="1">
      <c r="B148" s="194"/>
      <c r="C148" s="205">
        <v>84</v>
      </c>
      <c r="D148" s="205" t="s">
        <v>856</v>
      </c>
      <c r="E148" s="206" t="s">
        <v>1009</v>
      </c>
      <c r="F148" s="378" t="s">
        <v>1013</v>
      </c>
      <c r="G148" s="378"/>
      <c r="H148" s="378"/>
      <c r="I148" s="378"/>
      <c r="J148" s="207" t="s">
        <v>616</v>
      </c>
      <c r="K148" s="208">
        <v>1</v>
      </c>
      <c r="L148" s="379">
        <v>0</v>
      </c>
      <c r="M148" s="379"/>
      <c r="N148" s="379">
        <f t="shared" si="5"/>
        <v>0</v>
      </c>
      <c r="O148" s="379"/>
      <c r="P148" s="379"/>
      <c r="Q148" s="379"/>
      <c r="R148" s="198"/>
      <c r="T148" s="199"/>
      <c r="U148" s="200"/>
      <c r="V148" s="201"/>
      <c r="W148" s="201"/>
      <c r="X148" s="201"/>
      <c r="Y148" s="201"/>
      <c r="Z148" s="201"/>
      <c r="AA148" s="202"/>
      <c r="AR148" s="137"/>
      <c r="AT148" s="137"/>
      <c r="AU148" s="137"/>
      <c r="AY148" s="137"/>
      <c r="BE148" s="203"/>
      <c r="BF148" s="203"/>
      <c r="BG148" s="203"/>
      <c r="BH148" s="203"/>
      <c r="BI148" s="203"/>
      <c r="BJ148" s="137"/>
      <c r="BK148" s="203"/>
      <c r="BL148" s="137"/>
      <c r="BM148" s="137"/>
    </row>
    <row r="149" spans="2:65" s="138" customFormat="1" ht="20.25" customHeight="1">
      <c r="B149" s="194"/>
      <c r="C149" s="195">
        <v>85</v>
      </c>
      <c r="D149" s="195" t="s">
        <v>839</v>
      </c>
      <c r="E149" s="204" t="s">
        <v>1014</v>
      </c>
      <c r="F149" s="375" t="s">
        <v>1015</v>
      </c>
      <c r="G149" s="375"/>
      <c r="H149" s="375"/>
      <c r="I149" s="375"/>
      <c r="J149" s="196" t="s">
        <v>388</v>
      </c>
      <c r="K149" s="197">
        <v>1</v>
      </c>
      <c r="L149" s="376">
        <v>0</v>
      </c>
      <c r="M149" s="376"/>
      <c r="N149" s="376">
        <f t="shared" si="5"/>
        <v>0</v>
      </c>
      <c r="O149" s="376"/>
      <c r="P149" s="376"/>
      <c r="Q149" s="376"/>
      <c r="R149" s="198"/>
      <c r="T149" s="199"/>
      <c r="U149" s="200"/>
      <c r="V149" s="201"/>
      <c r="W149" s="201"/>
      <c r="X149" s="201"/>
      <c r="Y149" s="201"/>
      <c r="Z149" s="201"/>
      <c r="AA149" s="202"/>
      <c r="AR149" s="137"/>
      <c r="AT149" s="137"/>
      <c r="AU149" s="137"/>
      <c r="AY149" s="137"/>
      <c r="BE149" s="203"/>
      <c r="BF149" s="203"/>
      <c r="BG149" s="203"/>
      <c r="BH149" s="203"/>
      <c r="BI149" s="203"/>
      <c r="BJ149" s="137"/>
      <c r="BK149" s="203"/>
      <c r="BL149" s="137"/>
      <c r="BM149" s="137"/>
    </row>
    <row r="150" spans="2:18" s="138" customFormat="1" ht="6.75" customHeight="1">
      <c r="B150" s="160"/>
      <c r="C150" s="161"/>
      <c r="D150" s="161"/>
      <c r="E150" s="161"/>
      <c r="F150" s="161"/>
      <c r="G150" s="161"/>
      <c r="H150" s="161"/>
      <c r="I150" s="161"/>
      <c r="J150" s="161"/>
      <c r="K150" s="161"/>
      <c r="L150" s="161"/>
      <c r="M150" s="161"/>
      <c r="N150" s="161"/>
      <c r="O150" s="161"/>
      <c r="P150" s="161"/>
      <c r="Q150" s="161"/>
      <c r="R150" s="162"/>
    </row>
  </sheetData>
  <sheetProtection selectLockedCells="1" selectUnlockedCells="1"/>
  <mergeCells count="305">
    <mergeCell ref="F149:I149"/>
    <mergeCell ref="L149:M149"/>
    <mergeCell ref="N149:Q149"/>
    <mergeCell ref="F147:I147"/>
    <mergeCell ref="L147:M147"/>
    <mergeCell ref="N147:Q147"/>
    <mergeCell ref="F148:I148"/>
    <mergeCell ref="L148:M148"/>
    <mergeCell ref="N148:Q148"/>
    <mergeCell ref="F145:I145"/>
    <mergeCell ref="L145:M145"/>
    <mergeCell ref="N145:Q145"/>
    <mergeCell ref="F146:I146"/>
    <mergeCell ref="L146:M146"/>
    <mergeCell ref="N146:Q146"/>
    <mergeCell ref="N142:Q142"/>
    <mergeCell ref="F143:I143"/>
    <mergeCell ref="L143:M143"/>
    <mergeCell ref="N143:Q143"/>
    <mergeCell ref="F144:I144"/>
    <mergeCell ref="L144:M144"/>
    <mergeCell ref="N144:Q144"/>
    <mergeCell ref="F139:I139"/>
    <mergeCell ref="L139:M139"/>
    <mergeCell ref="N139:Q139"/>
    <mergeCell ref="N140:Q140"/>
    <mergeCell ref="F141:I141"/>
    <mergeCell ref="L141:M141"/>
    <mergeCell ref="N141:Q141"/>
    <mergeCell ref="F135:I135"/>
    <mergeCell ref="L135:M135"/>
    <mergeCell ref="N135:Q135"/>
    <mergeCell ref="N136:Q136"/>
    <mergeCell ref="N137:Q137"/>
    <mergeCell ref="F138:I138"/>
    <mergeCell ref="L138:M138"/>
    <mergeCell ref="N138:Q138"/>
    <mergeCell ref="F132:I132"/>
    <mergeCell ref="L132:M132"/>
    <mergeCell ref="N132:Q132"/>
    <mergeCell ref="N133:Q133"/>
    <mergeCell ref="F134:I134"/>
    <mergeCell ref="L134:M134"/>
    <mergeCell ref="N134:Q134"/>
    <mergeCell ref="F130:I130"/>
    <mergeCell ref="L130:M130"/>
    <mergeCell ref="N130:Q130"/>
    <mergeCell ref="F131:I131"/>
    <mergeCell ref="L131:M131"/>
    <mergeCell ref="N131:Q131"/>
    <mergeCell ref="N127:Q127"/>
    <mergeCell ref="F128:I128"/>
    <mergeCell ref="L128:M128"/>
    <mergeCell ref="N128:Q128"/>
    <mergeCell ref="F129:I129"/>
    <mergeCell ref="L129:M129"/>
    <mergeCell ref="N129:Q129"/>
    <mergeCell ref="F125:I125"/>
    <mergeCell ref="L125:M125"/>
    <mergeCell ref="N125:Q125"/>
    <mergeCell ref="F126:I126"/>
    <mergeCell ref="L126:M126"/>
    <mergeCell ref="N126:Q126"/>
    <mergeCell ref="F123:I123"/>
    <mergeCell ref="L123:M123"/>
    <mergeCell ref="N123:Q123"/>
    <mergeCell ref="F124:I124"/>
    <mergeCell ref="L124:M124"/>
    <mergeCell ref="N124:Q124"/>
    <mergeCell ref="F121:I121"/>
    <mergeCell ref="L121:M121"/>
    <mergeCell ref="N121:Q121"/>
    <mergeCell ref="F122:I122"/>
    <mergeCell ref="L122:M122"/>
    <mergeCell ref="N122:Q122"/>
    <mergeCell ref="F119:I119"/>
    <mergeCell ref="L119:M119"/>
    <mergeCell ref="N119:Q119"/>
    <mergeCell ref="F120:I120"/>
    <mergeCell ref="L120:M120"/>
    <mergeCell ref="N120:Q120"/>
    <mergeCell ref="F117:I117"/>
    <mergeCell ref="L117:M117"/>
    <mergeCell ref="N117:Q117"/>
    <mergeCell ref="F118:I118"/>
    <mergeCell ref="L118:M118"/>
    <mergeCell ref="N118:Q118"/>
    <mergeCell ref="N114:Q114"/>
    <mergeCell ref="F115:I115"/>
    <mergeCell ref="L115:M115"/>
    <mergeCell ref="N115:Q115"/>
    <mergeCell ref="F116:I116"/>
    <mergeCell ref="L116:M116"/>
    <mergeCell ref="N116:Q116"/>
    <mergeCell ref="F112:I112"/>
    <mergeCell ref="L112:M112"/>
    <mergeCell ref="N112:Q112"/>
    <mergeCell ref="F113:I113"/>
    <mergeCell ref="L113:M113"/>
    <mergeCell ref="N113:Q113"/>
    <mergeCell ref="F110:I110"/>
    <mergeCell ref="L110:M110"/>
    <mergeCell ref="N110:Q110"/>
    <mergeCell ref="F111:I111"/>
    <mergeCell ref="L111:M111"/>
    <mergeCell ref="N111:Q111"/>
    <mergeCell ref="F108:I108"/>
    <mergeCell ref="L108:M108"/>
    <mergeCell ref="N108:Q108"/>
    <mergeCell ref="F109:I109"/>
    <mergeCell ref="L109:M109"/>
    <mergeCell ref="N109:Q109"/>
    <mergeCell ref="F106:I106"/>
    <mergeCell ref="L106:M106"/>
    <mergeCell ref="N106:Q106"/>
    <mergeCell ref="F107:I107"/>
    <mergeCell ref="L107:M107"/>
    <mergeCell ref="N107:Q107"/>
    <mergeCell ref="F104:I104"/>
    <mergeCell ref="L104:M104"/>
    <mergeCell ref="N104:Q104"/>
    <mergeCell ref="F105:I105"/>
    <mergeCell ref="L105:M105"/>
    <mergeCell ref="N105:Q105"/>
    <mergeCell ref="N101:Q101"/>
    <mergeCell ref="F102:I102"/>
    <mergeCell ref="L102:M102"/>
    <mergeCell ref="N102:Q102"/>
    <mergeCell ref="F103:I103"/>
    <mergeCell ref="L103:M103"/>
    <mergeCell ref="N103:Q103"/>
    <mergeCell ref="F99:I99"/>
    <mergeCell ref="L99:M99"/>
    <mergeCell ref="N99:Q99"/>
    <mergeCell ref="F100:I100"/>
    <mergeCell ref="L100:M100"/>
    <mergeCell ref="N100:Q100"/>
    <mergeCell ref="F97:I97"/>
    <mergeCell ref="L97:M97"/>
    <mergeCell ref="N97:Q97"/>
    <mergeCell ref="F98:I98"/>
    <mergeCell ref="L98:M98"/>
    <mergeCell ref="N98:Q98"/>
    <mergeCell ref="F95:I95"/>
    <mergeCell ref="L95:M95"/>
    <mergeCell ref="N95:Q95"/>
    <mergeCell ref="F96:I96"/>
    <mergeCell ref="L96:M96"/>
    <mergeCell ref="N96:Q96"/>
    <mergeCell ref="F93:I93"/>
    <mergeCell ref="L93:M93"/>
    <mergeCell ref="N93:Q93"/>
    <mergeCell ref="F94:I94"/>
    <mergeCell ref="L94:M94"/>
    <mergeCell ref="N94:Q94"/>
    <mergeCell ref="F91:I91"/>
    <mergeCell ref="L91:M91"/>
    <mergeCell ref="N91:Q91"/>
    <mergeCell ref="F92:I92"/>
    <mergeCell ref="L92:M92"/>
    <mergeCell ref="N92:Q92"/>
    <mergeCell ref="F89:I89"/>
    <mergeCell ref="L89:M89"/>
    <mergeCell ref="N89:Q89"/>
    <mergeCell ref="F90:I90"/>
    <mergeCell ref="L90:M90"/>
    <mergeCell ref="N90:Q90"/>
    <mergeCell ref="F87:I87"/>
    <mergeCell ref="L87:M87"/>
    <mergeCell ref="N87:Q87"/>
    <mergeCell ref="F88:I88"/>
    <mergeCell ref="L88:M88"/>
    <mergeCell ref="N88:Q88"/>
    <mergeCell ref="F84:I84"/>
    <mergeCell ref="L84:M84"/>
    <mergeCell ref="N84:Q84"/>
    <mergeCell ref="N85:Q85"/>
    <mergeCell ref="F86:I86"/>
    <mergeCell ref="L86:M86"/>
    <mergeCell ref="N86:Q86"/>
    <mergeCell ref="F82:I82"/>
    <mergeCell ref="L82:M82"/>
    <mergeCell ref="N82:Q82"/>
    <mergeCell ref="F83:I83"/>
    <mergeCell ref="L83:M83"/>
    <mergeCell ref="N83:Q83"/>
    <mergeCell ref="F80:I80"/>
    <mergeCell ref="L80:M80"/>
    <mergeCell ref="N80:Q80"/>
    <mergeCell ref="F81:I81"/>
    <mergeCell ref="L81:M81"/>
    <mergeCell ref="N81:Q81"/>
    <mergeCell ref="F78:I78"/>
    <mergeCell ref="L78:M78"/>
    <mergeCell ref="N78:Q78"/>
    <mergeCell ref="F79:I79"/>
    <mergeCell ref="L79:M79"/>
    <mergeCell ref="N79:Q79"/>
    <mergeCell ref="F76:I76"/>
    <mergeCell ref="L76:M76"/>
    <mergeCell ref="N76:Q76"/>
    <mergeCell ref="F77:I77"/>
    <mergeCell ref="L77:M77"/>
    <mergeCell ref="N77:Q77"/>
    <mergeCell ref="F74:I74"/>
    <mergeCell ref="L74:M74"/>
    <mergeCell ref="N74:Q74"/>
    <mergeCell ref="F75:I75"/>
    <mergeCell ref="L75:M75"/>
    <mergeCell ref="N75:Q75"/>
    <mergeCell ref="F72:I72"/>
    <mergeCell ref="L72:M72"/>
    <mergeCell ref="N72:Q72"/>
    <mergeCell ref="F73:I73"/>
    <mergeCell ref="L73:M73"/>
    <mergeCell ref="N73:Q73"/>
    <mergeCell ref="N69:Q69"/>
    <mergeCell ref="F70:I70"/>
    <mergeCell ref="L70:M70"/>
    <mergeCell ref="N70:Q70"/>
    <mergeCell ref="F71:I71"/>
    <mergeCell ref="L71:M71"/>
    <mergeCell ref="N71:Q71"/>
    <mergeCell ref="F67:I67"/>
    <mergeCell ref="L67:M67"/>
    <mergeCell ref="N67:Q67"/>
    <mergeCell ref="F68:I68"/>
    <mergeCell ref="L68:M68"/>
    <mergeCell ref="N68:Q68"/>
    <mergeCell ref="F65:I65"/>
    <mergeCell ref="L65:M65"/>
    <mergeCell ref="N65:Q65"/>
    <mergeCell ref="F66:I66"/>
    <mergeCell ref="L66:M66"/>
    <mergeCell ref="N66:Q66"/>
    <mergeCell ref="F63:I63"/>
    <mergeCell ref="L63:M63"/>
    <mergeCell ref="N63:Q63"/>
    <mergeCell ref="F64:I64"/>
    <mergeCell ref="L64:M64"/>
    <mergeCell ref="N64:Q64"/>
    <mergeCell ref="N60:Q60"/>
    <mergeCell ref="F61:I61"/>
    <mergeCell ref="L61:M61"/>
    <mergeCell ref="N61:Q61"/>
    <mergeCell ref="F62:I62"/>
    <mergeCell ref="L62:M62"/>
    <mergeCell ref="N62:Q62"/>
    <mergeCell ref="F55:I55"/>
    <mergeCell ref="L55:M55"/>
    <mergeCell ref="N55:Q55"/>
    <mergeCell ref="N57:Q57"/>
    <mergeCell ref="N58:Q58"/>
    <mergeCell ref="F59:I59"/>
    <mergeCell ref="L59:M59"/>
    <mergeCell ref="N59:Q59"/>
    <mergeCell ref="F53:I53"/>
    <mergeCell ref="L53:M53"/>
    <mergeCell ref="N53:Q53"/>
    <mergeCell ref="F54:I54"/>
    <mergeCell ref="L54:M54"/>
    <mergeCell ref="N54:Q54"/>
    <mergeCell ref="N50:Q50"/>
    <mergeCell ref="F51:I51"/>
    <mergeCell ref="L51:M51"/>
    <mergeCell ref="N51:Q51"/>
    <mergeCell ref="F52:I52"/>
    <mergeCell ref="L52:M52"/>
    <mergeCell ref="N52:Q52"/>
    <mergeCell ref="M45:Q45"/>
    <mergeCell ref="F47:I47"/>
    <mergeCell ref="L47:M47"/>
    <mergeCell ref="N47:Q47"/>
    <mergeCell ref="N48:Q48"/>
    <mergeCell ref="N49:Q49"/>
    <mergeCell ref="N30:Q30"/>
    <mergeCell ref="L32:Q32"/>
    <mergeCell ref="C38:Q38"/>
    <mergeCell ref="F40:P40"/>
    <mergeCell ref="M42:P42"/>
    <mergeCell ref="M44:Q44"/>
    <mergeCell ref="N23:Q23"/>
    <mergeCell ref="N24:Q24"/>
    <mergeCell ref="N25:Q25"/>
    <mergeCell ref="N26:Q26"/>
    <mergeCell ref="N27:Q27"/>
    <mergeCell ref="N28:Q28"/>
    <mergeCell ref="N17:Q17"/>
    <mergeCell ref="N18:Q18"/>
    <mergeCell ref="N19:Q19"/>
    <mergeCell ref="N20:Q20"/>
    <mergeCell ref="N21:Q21"/>
    <mergeCell ref="N22:Q22"/>
    <mergeCell ref="M10:Q10"/>
    <mergeCell ref="C12:G12"/>
    <mergeCell ref="N12:Q12"/>
    <mergeCell ref="N14:Q14"/>
    <mergeCell ref="N15:Q15"/>
    <mergeCell ref="N16:Q16"/>
    <mergeCell ref="C1:Q1"/>
    <mergeCell ref="S1:AC1"/>
    <mergeCell ref="C3:Q3"/>
    <mergeCell ref="F5:P5"/>
    <mergeCell ref="M7:P7"/>
    <mergeCell ref="M9:Q9"/>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45"/>
  <sheetViews>
    <sheetView showOutlineSymbols="0" zoomScale="90" zoomScaleNormal="90" zoomScalePageLayoutView="0" workbookViewId="0" topLeftCell="A1">
      <selection activeCell="A45" sqref="A45"/>
    </sheetView>
  </sheetViews>
  <sheetFormatPr defaultColWidth="14.16015625" defaultRowHeight="15" customHeight="1"/>
  <cols>
    <col min="1" max="1" width="10.66015625" style="1" customWidth="1"/>
    <col min="2" max="2" width="15" style="1" customWidth="1"/>
    <col min="3" max="3" width="26.66015625" style="1" customWidth="1"/>
    <col min="4" max="4" width="11.66015625" style="1" customWidth="1"/>
    <col min="5" max="5" width="16.33203125" style="1" customWidth="1"/>
    <col min="6" max="6" width="26.66015625" style="1" customWidth="1"/>
    <col min="7" max="7" width="10.66015625" style="1" customWidth="1"/>
    <col min="8" max="8" width="20" style="1" customWidth="1"/>
    <col min="9" max="9" width="26.66015625" style="1" customWidth="1"/>
  </cols>
  <sheetData>
    <row r="1" spans="1:9" ht="54.75" customHeight="1">
      <c r="A1" s="223" t="s">
        <v>1016</v>
      </c>
      <c r="B1" s="223"/>
      <c r="C1" s="223"/>
      <c r="D1" s="223"/>
      <c r="E1" s="223"/>
      <c r="F1" s="223"/>
      <c r="G1" s="223"/>
      <c r="H1" s="223"/>
      <c r="I1" s="223"/>
    </row>
    <row r="2" spans="1:9" ht="15" customHeight="1">
      <c r="A2" s="224" t="s">
        <v>1</v>
      </c>
      <c r="B2" s="224"/>
      <c r="C2" s="225" t="str">
        <f>'Stavební rozpočet'!C2</f>
        <v>MĚSTSKÁ KNIHOVNA</v>
      </c>
      <c r="D2" s="225"/>
      <c r="E2" s="226" t="s">
        <v>2</v>
      </c>
      <c r="F2" s="226" t="str">
        <f>'Stavební rozpočet'!I2</f>
        <v>MĚSTO RUMBURK</v>
      </c>
      <c r="G2" s="226"/>
      <c r="H2" s="226" t="s">
        <v>3</v>
      </c>
      <c r="I2" s="227"/>
    </row>
    <row r="3" spans="1:9" ht="15" customHeight="1">
      <c r="A3" s="224"/>
      <c r="B3" s="224"/>
      <c r="C3" s="225"/>
      <c r="D3" s="225"/>
      <c r="E3" s="226"/>
      <c r="F3" s="226"/>
      <c r="G3" s="226"/>
      <c r="H3" s="226"/>
      <c r="I3" s="227"/>
    </row>
    <row r="4" spans="1:9" ht="15" customHeight="1">
      <c r="A4" s="228" t="s">
        <v>4</v>
      </c>
      <c r="B4" s="228"/>
      <c r="C4" s="229" t="str">
        <f>'Stavební rozpočet'!C4</f>
        <v>ZMĚNA SYSTÉMU VYTÁPĚNÍ</v>
      </c>
      <c r="D4" s="229"/>
      <c r="E4" s="229" t="s">
        <v>5</v>
      </c>
      <c r="F4" s="229" t="str">
        <f>'Stavební rozpočet'!I4</f>
        <v>Ing. Jiří Drahota</v>
      </c>
      <c r="G4" s="229"/>
      <c r="H4" s="229" t="s">
        <v>3</v>
      </c>
      <c r="I4" s="230"/>
    </row>
    <row r="5" spans="1:9" ht="15" customHeight="1">
      <c r="A5" s="228"/>
      <c r="B5" s="228"/>
      <c r="C5" s="229"/>
      <c r="D5" s="229"/>
      <c r="E5" s="229"/>
      <c r="F5" s="229"/>
      <c r="G5" s="229"/>
      <c r="H5" s="229"/>
      <c r="I5" s="230"/>
    </row>
    <row r="6" spans="1:9" ht="15" customHeight="1">
      <c r="A6" s="228" t="s">
        <v>6</v>
      </c>
      <c r="B6" s="228"/>
      <c r="C6" s="229" t="str">
        <f>'Stavební rozpočet'!C6</f>
        <v>RUMBURK,TŘÍDA 9.KVĚTNA 150/29</v>
      </c>
      <c r="D6" s="229"/>
      <c r="E6" s="229" t="s">
        <v>7</v>
      </c>
      <c r="F6" s="229" t="str">
        <f>'Stavební rozpočet'!I6</f>
        <v>BUEDE VYBRÁN</v>
      </c>
      <c r="G6" s="229"/>
      <c r="H6" s="229" t="s">
        <v>3</v>
      </c>
      <c r="I6" s="230"/>
    </row>
    <row r="7" spans="1:9" ht="15" customHeight="1">
      <c r="A7" s="228"/>
      <c r="B7" s="228"/>
      <c r="C7" s="229"/>
      <c r="D7" s="229"/>
      <c r="E7" s="229"/>
      <c r="F7" s="229"/>
      <c r="G7" s="229"/>
      <c r="H7" s="229"/>
      <c r="I7" s="230"/>
    </row>
    <row r="8" spans="1:9" ht="15" customHeight="1">
      <c r="A8" s="228" t="s">
        <v>8</v>
      </c>
      <c r="B8" s="228"/>
      <c r="C8" s="229" t="str">
        <f>'Stavební rozpočet'!G4</f>
        <v>20.10.2023</v>
      </c>
      <c r="D8" s="229"/>
      <c r="E8" s="229" t="s">
        <v>9</v>
      </c>
      <c r="F8" s="229" t="str">
        <f>'Stavební rozpočet'!G6</f>
        <v> </v>
      </c>
      <c r="G8" s="229"/>
      <c r="H8" s="231" t="s">
        <v>10</v>
      </c>
      <c r="I8" s="232">
        <v>77</v>
      </c>
    </row>
    <row r="9" spans="1:9" ht="15" customHeight="1">
      <c r="A9" s="228"/>
      <c r="B9" s="228"/>
      <c r="C9" s="229"/>
      <c r="D9" s="229"/>
      <c r="E9" s="229"/>
      <c r="F9" s="229"/>
      <c r="G9" s="229"/>
      <c r="H9" s="231"/>
      <c r="I9" s="232"/>
    </row>
    <row r="10" spans="1:9" ht="15" customHeight="1">
      <c r="A10" s="233" t="s">
        <v>11</v>
      </c>
      <c r="B10" s="233"/>
      <c r="C10" s="234" t="str">
        <f>'Stavební rozpočet'!C8</f>
        <v> </v>
      </c>
      <c r="D10" s="234"/>
      <c r="E10" s="234" t="s">
        <v>12</v>
      </c>
      <c r="F10" s="234" t="str">
        <f>'Stavební rozpočet'!I8</f>
        <v>Ing. Jiří Drahota, Jiří Trojan</v>
      </c>
      <c r="G10" s="234"/>
      <c r="H10" s="235" t="s">
        <v>13</v>
      </c>
      <c r="I10" s="236" t="str">
        <f>'Stavební rozpočet'!G8</f>
        <v>20.10.2023</v>
      </c>
    </row>
    <row r="11" spans="1:9" ht="15" customHeight="1">
      <c r="A11" s="233"/>
      <c r="B11" s="233"/>
      <c r="C11" s="234"/>
      <c r="D11" s="234"/>
      <c r="E11" s="234"/>
      <c r="F11" s="234"/>
      <c r="G11" s="234"/>
      <c r="H11" s="235"/>
      <c r="I11" s="236"/>
    </row>
    <row r="13" spans="1:5" ht="15.75" customHeight="1">
      <c r="A13" s="383" t="s">
        <v>1017</v>
      </c>
      <c r="B13" s="383"/>
      <c r="C13" s="383"/>
      <c r="D13" s="383"/>
      <c r="E13" s="383"/>
    </row>
    <row r="14" spans="1:9" ht="15" customHeight="1">
      <c r="A14" s="384" t="s">
        <v>1018</v>
      </c>
      <c r="B14" s="384"/>
      <c r="C14" s="384"/>
      <c r="D14" s="384"/>
      <c r="E14" s="384"/>
      <c r="F14" s="216" t="s">
        <v>1019</v>
      </c>
      <c r="G14" s="216" t="s">
        <v>1020</v>
      </c>
      <c r="H14" s="216" t="s">
        <v>1021</v>
      </c>
      <c r="I14" s="216" t="s">
        <v>1019</v>
      </c>
    </row>
    <row r="15" spans="1:9" ht="15" customHeight="1">
      <c r="A15" s="385" t="s">
        <v>23</v>
      </c>
      <c r="B15" s="385"/>
      <c r="C15" s="385"/>
      <c r="D15" s="385"/>
      <c r="E15" s="385"/>
      <c r="F15" s="217">
        <v>0</v>
      </c>
      <c r="G15" s="218"/>
      <c r="H15" s="218"/>
      <c r="I15" s="217">
        <f>F15</f>
        <v>0</v>
      </c>
    </row>
    <row r="16" spans="1:9" ht="15" customHeight="1">
      <c r="A16" s="385" t="s">
        <v>26</v>
      </c>
      <c r="B16" s="385"/>
      <c r="C16" s="385"/>
      <c r="D16" s="385"/>
      <c r="E16" s="385"/>
      <c r="F16" s="217">
        <v>0</v>
      </c>
      <c r="G16" s="218"/>
      <c r="H16" s="218"/>
      <c r="I16" s="217">
        <f>F16</f>
        <v>0</v>
      </c>
    </row>
    <row r="17" spans="1:9" ht="15" customHeight="1">
      <c r="A17" s="386" t="s">
        <v>29</v>
      </c>
      <c r="B17" s="386"/>
      <c r="C17" s="386"/>
      <c r="D17" s="386"/>
      <c r="E17" s="386"/>
      <c r="F17" s="219">
        <v>0</v>
      </c>
      <c r="G17" s="2"/>
      <c r="H17" s="2"/>
      <c r="I17" s="219">
        <f>F17</f>
        <v>0</v>
      </c>
    </row>
    <row r="18" spans="1:9" ht="15" customHeight="1">
      <c r="A18" s="387" t="s">
        <v>1022</v>
      </c>
      <c r="B18" s="387"/>
      <c r="C18" s="387"/>
      <c r="D18" s="387"/>
      <c r="E18" s="387"/>
      <c r="F18" s="220"/>
      <c r="G18" s="221"/>
      <c r="H18" s="221"/>
      <c r="I18" s="222">
        <f>SUM(I15:I17)</f>
        <v>0</v>
      </c>
    </row>
    <row r="20" spans="1:9" ht="15" customHeight="1">
      <c r="A20" s="384" t="s">
        <v>20</v>
      </c>
      <c r="B20" s="384"/>
      <c r="C20" s="384"/>
      <c r="D20" s="384"/>
      <c r="E20" s="384"/>
      <c r="F20" s="216" t="s">
        <v>1019</v>
      </c>
      <c r="G20" s="216" t="s">
        <v>1020</v>
      </c>
      <c r="H20" s="216" t="s">
        <v>1021</v>
      </c>
      <c r="I20" s="216" t="s">
        <v>1019</v>
      </c>
    </row>
    <row r="21" spans="1:9" ht="15" customHeight="1">
      <c r="A21" s="385" t="s">
        <v>24</v>
      </c>
      <c r="B21" s="385"/>
      <c r="C21" s="385"/>
      <c r="D21" s="385"/>
      <c r="E21" s="385"/>
      <c r="F21" s="217">
        <v>0</v>
      </c>
      <c r="G21" s="218"/>
      <c r="H21" s="218"/>
      <c r="I21" s="217">
        <f aca="true" t="shared" si="0" ref="I21:I26">F21</f>
        <v>0</v>
      </c>
    </row>
    <row r="22" spans="1:9" ht="15" customHeight="1">
      <c r="A22" s="385" t="s">
        <v>27</v>
      </c>
      <c r="B22" s="385"/>
      <c r="C22" s="385"/>
      <c r="D22" s="385"/>
      <c r="E22" s="385"/>
      <c r="F22" s="217">
        <v>0</v>
      </c>
      <c r="G22" s="218"/>
      <c r="H22" s="218"/>
      <c r="I22" s="217">
        <f t="shared" si="0"/>
        <v>0</v>
      </c>
    </row>
    <row r="23" spans="1:9" ht="15" customHeight="1">
      <c r="A23" s="385" t="s">
        <v>30</v>
      </c>
      <c r="B23" s="385"/>
      <c r="C23" s="385"/>
      <c r="D23" s="385"/>
      <c r="E23" s="385"/>
      <c r="F23" s="217">
        <v>0</v>
      </c>
      <c r="G23" s="218"/>
      <c r="H23" s="218"/>
      <c r="I23" s="217">
        <f t="shared" si="0"/>
        <v>0</v>
      </c>
    </row>
    <row r="24" spans="1:9" ht="15" customHeight="1">
      <c r="A24" s="385" t="s">
        <v>31</v>
      </c>
      <c r="B24" s="385"/>
      <c r="C24" s="385"/>
      <c r="D24" s="385"/>
      <c r="E24" s="385"/>
      <c r="F24" s="217">
        <v>0</v>
      </c>
      <c r="G24" s="218"/>
      <c r="H24" s="218"/>
      <c r="I24" s="217">
        <f t="shared" si="0"/>
        <v>0</v>
      </c>
    </row>
    <row r="25" spans="1:9" ht="15" customHeight="1">
      <c r="A25" s="385" t="s">
        <v>33</v>
      </c>
      <c r="B25" s="385"/>
      <c r="C25" s="385"/>
      <c r="D25" s="385"/>
      <c r="E25" s="385"/>
      <c r="F25" s="217">
        <v>0</v>
      </c>
      <c r="G25" s="218"/>
      <c r="H25" s="218"/>
      <c r="I25" s="217">
        <f t="shared" si="0"/>
        <v>0</v>
      </c>
    </row>
    <row r="26" spans="1:9" ht="15" customHeight="1">
      <c r="A26" s="386" t="s">
        <v>34</v>
      </c>
      <c r="B26" s="386"/>
      <c r="C26" s="386"/>
      <c r="D26" s="386"/>
      <c r="E26" s="386"/>
      <c r="F26" s="219">
        <v>0</v>
      </c>
      <c r="G26" s="2"/>
      <c r="H26" s="2"/>
      <c r="I26" s="219">
        <f t="shared" si="0"/>
        <v>0</v>
      </c>
    </row>
    <row r="27" spans="1:9" ht="15" customHeight="1">
      <c r="A27" s="387" t="s">
        <v>1023</v>
      </c>
      <c r="B27" s="387"/>
      <c r="C27" s="387"/>
      <c r="D27" s="387"/>
      <c r="E27" s="387"/>
      <c r="F27" s="220"/>
      <c r="G27" s="221"/>
      <c r="H27" s="221"/>
      <c r="I27" s="222">
        <f>SUM(I21:I26)</f>
        <v>0</v>
      </c>
    </row>
    <row r="29" spans="1:9" ht="15.75" customHeight="1">
      <c r="A29" s="388" t="s">
        <v>1024</v>
      </c>
      <c r="B29" s="388"/>
      <c r="C29" s="388"/>
      <c r="D29" s="388"/>
      <c r="E29" s="388"/>
      <c r="F29" s="389">
        <f>I18+I27</f>
        <v>0</v>
      </c>
      <c r="G29" s="389"/>
      <c r="H29" s="389"/>
      <c r="I29" s="389"/>
    </row>
    <row r="33" spans="1:5" ht="15.75" customHeight="1">
      <c r="A33" s="383" t="s">
        <v>1025</v>
      </c>
      <c r="B33" s="383"/>
      <c r="C33" s="383"/>
      <c r="D33" s="383"/>
      <c r="E33" s="383"/>
    </row>
    <row r="34" spans="1:9" ht="15" customHeight="1">
      <c r="A34" s="384" t="s">
        <v>1026</v>
      </c>
      <c r="B34" s="384"/>
      <c r="C34" s="384"/>
      <c r="D34" s="384"/>
      <c r="E34" s="384"/>
      <c r="F34" s="216" t="s">
        <v>1019</v>
      </c>
      <c r="G34" s="216" t="s">
        <v>1020</v>
      </c>
      <c r="H34" s="216" t="s">
        <v>1021</v>
      </c>
      <c r="I34" s="216" t="s">
        <v>1019</v>
      </c>
    </row>
    <row r="35" spans="1:9" ht="15" customHeight="1">
      <c r="A35" s="385" t="s">
        <v>124</v>
      </c>
      <c r="B35" s="385"/>
      <c r="C35" s="385"/>
      <c r="D35" s="385"/>
      <c r="E35" s="385"/>
      <c r="F35" s="217">
        <f>SUM('Stavební rozpočet'!BM12:BM283)</f>
        <v>0</v>
      </c>
      <c r="G35" s="218"/>
      <c r="H35" s="218"/>
      <c r="I35" s="217">
        <f aca="true" t="shared" si="1" ref="I35:I44">F35</f>
        <v>0</v>
      </c>
    </row>
    <row r="36" spans="1:9" ht="15" customHeight="1">
      <c r="A36" s="385" t="s">
        <v>1027</v>
      </c>
      <c r="B36" s="385"/>
      <c r="C36" s="385"/>
      <c r="D36" s="385"/>
      <c r="E36" s="385"/>
      <c r="F36" s="217">
        <f>SUM('Stavební rozpočet'!BN12:BN283)</f>
        <v>0</v>
      </c>
      <c r="G36" s="218"/>
      <c r="H36" s="218"/>
      <c r="I36" s="217">
        <f t="shared" si="1"/>
        <v>0</v>
      </c>
    </row>
    <row r="37" spans="1:9" ht="15" customHeight="1">
      <c r="A37" s="385" t="s">
        <v>24</v>
      </c>
      <c r="B37" s="385"/>
      <c r="C37" s="385"/>
      <c r="D37" s="385"/>
      <c r="E37" s="385"/>
      <c r="F37" s="217">
        <f>SUM('Stavební rozpočet'!BO12:BO283)</f>
        <v>0</v>
      </c>
      <c r="G37" s="218"/>
      <c r="H37" s="218"/>
      <c r="I37" s="217">
        <f t="shared" si="1"/>
        <v>0</v>
      </c>
    </row>
    <row r="38" spans="1:9" ht="15" customHeight="1">
      <c r="A38" s="385" t="s">
        <v>127</v>
      </c>
      <c r="B38" s="385"/>
      <c r="C38" s="385"/>
      <c r="D38" s="385"/>
      <c r="E38" s="385"/>
      <c r="F38" s="217">
        <f>SUM('Stavební rozpočet'!BP12:BP283)</f>
        <v>0</v>
      </c>
      <c r="G38" s="218"/>
      <c r="H38" s="218"/>
      <c r="I38" s="217">
        <f t="shared" si="1"/>
        <v>0</v>
      </c>
    </row>
    <row r="39" spans="1:9" ht="15" customHeight="1">
      <c r="A39" s="385" t="s">
        <v>1028</v>
      </c>
      <c r="B39" s="385"/>
      <c r="C39" s="385"/>
      <c r="D39" s="385"/>
      <c r="E39" s="385"/>
      <c r="F39" s="217">
        <f>SUM('Stavební rozpočet'!BQ12:BQ283)</f>
        <v>0</v>
      </c>
      <c r="G39" s="218"/>
      <c r="H39" s="218"/>
      <c r="I39" s="217">
        <f t="shared" si="1"/>
        <v>0</v>
      </c>
    </row>
    <row r="40" spans="1:9" ht="15" customHeight="1">
      <c r="A40" s="385" t="s">
        <v>30</v>
      </c>
      <c r="B40" s="385"/>
      <c r="C40" s="385"/>
      <c r="D40" s="385"/>
      <c r="E40" s="385"/>
      <c r="F40" s="217">
        <f>SUM('Stavební rozpočet'!BR12:BR283)</f>
        <v>0</v>
      </c>
      <c r="G40" s="218"/>
      <c r="H40" s="218"/>
      <c r="I40" s="217">
        <f t="shared" si="1"/>
        <v>0</v>
      </c>
    </row>
    <row r="41" spans="1:9" ht="15" customHeight="1">
      <c r="A41" s="385" t="s">
        <v>31</v>
      </c>
      <c r="B41" s="385"/>
      <c r="C41" s="385"/>
      <c r="D41" s="385"/>
      <c r="E41" s="385"/>
      <c r="F41" s="217">
        <f>SUM('Stavební rozpočet'!BS12:BS283)</f>
        <v>0</v>
      </c>
      <c r="G41" s="218"/>
      <c r="H41" s="218"/>
      <c r="I41" s="217">
        <f t="shared" si="1"/>
        <v>0</v>
      </c>
    </row>
    <row r="42" spans="1:9" ht="15" customHeight="1">
      <c r="A42" s="385" t="s">
        <v>1029</v>
      </c>
      <c r="B42" s="385"/>
      <c r="C42" s="385"/>
      <c r="D42" s="385"/>
      <c r="E42" s="385"/>
      <c r="F42" s="217">
        <f>SUM('Stavební rozpočet'!BT12:BT283)</f>
        <v>0</v>
      </c>
      <c r="G42" s="218"/>
      <c r="H42" s="218"/>
      <c r="I42" s="217">
        <f t="shared" si="1"/>
        <v>0</v>
      </c>
    </row>
    <row r="43" spans="1:9" ht="15" customHeight="1">
      <c r="A43" s="385" t="s">
        <v>1030</v>
      </c>
      <c r="B43" s="385"/>
      <c r="C43" s="385"/>
      <c r="D43" s="385"/>
      <c r="E43" s="385"/>
      <c r="F43" s="217">
        <f>SUM('Stavební rozpočet'!BU12:BU283)</f>
        <v>0</v>
      </c>
      <c r="G43" s="218"/>
      <c r="H43" s="218"/>
      <c r="I43" s="217">
        <f t="shared" si="1"/>
        <v>0</v>
      </c>
    </row>
    <row r="44" spans="1:9" ht="15" customHeight="1">
      <c r="A44" s="386" t="s">
        <v>1031</v>
      </c>
      <c r="B44" s="386"/>
      <c r="C44" s="386"/>
      <c r="D44" s="386"/>
      <c r="E44" s="386"/>
      <c r="F44" s="219">
        <f>SUM('Stavební rozpočet'!BV12:BV283)</f>
        <v>0</v>
      </c>
      <c r="G44" s="2"/>
      <c r="H44" s="2"/>
      <c r="I44" s="219">
        <f t="shared" si="1"/>
        <v>0</v>
      </c>
    </row>
    <row r="45" spans="1:9" ht="15" customHeight="1">
      <c r="A45" s="387" t="s">
        <v>1032</v>
      </c>
      <c r="B45" s="387"/>
      <c r="C45" s="387"/>
      <c r="D45" s="387"/>
      <c r="E45" s="387"/>
      <c r="F45" s="220"/>
      <c r="G45" s="221"/>
      <c r="H45" s="221"/>
      <c r="I45" s="222">
        <f>SUM(I35:I44)</f>
        <v>0</v>
      </c>
    </row>
  </sheetData>
  <sheetProtection selectLockedCells="1" selectUnlockedCells="1"/>
  <mergeCells count="60">
    <mergeCell ref="A41:E41"/>
    <mergeCell ref="A42:E42"/>
    <mergeCell ref="A43:E43"/>
    <mergeCell ref="A44:E44"/>
    <mergeCell ref="A45:E45"/>
    <mergeCell ref="A35:E35"/>
    <mergeCell ref="A36:E36"/>
    <mergeCell ref="A37:E37"/>
    <mergeCell ref="A38:E38"/>
    <mergeCell ref="A39:E39"/>
    <mergeCell ref="A40:E40"/>
    <mergeCell ref="A26:E26"/>
    <mergeCell ref="A27:E27"/>
    <mergeCell ref="A29:E29"/>
    <mergeCell ref="F29:I29"/>
    <mergeCell ref="A33:E33"/>
    <mergeCell ref="A34:E34"/>
    <mergeCell ref="A20:E20"/>
    <mergeCell ref="A21:E21"/>
    <mergeCell ref="A22:E22"/>
    <mergeCell ref="A23:E23"/>
    <mergeCell ref="A24:E24"/>
    <mergeCell ref="A25:E25"/>
    <mergeCell ref="A13:E13"/>
    <mergeCell ref="A14:E14"/>
    <mergeCell ref="A15:E15"/>
    <mergeCell ref="A16:E16"/>
    <mergeCell ref="A17:E17"/>
    <mergeCell ref="A18:E18"/>
    <mergeCell ref="A10:B11"/>
    <mergeCell ref="C10:D11"/>
    <mergeCell ref="E10:E11"/>
    <mergeCell ref="F10:G11"/>
    <mergeCell ref="H10:H11"/>
    <mergeCell ref="I10:I11"/>
    <mergeCell ref="A8:B9"/>
    <mergeCell ref="C8:D9"/>
    <mergeCell ref="E8:E9"/>
    <mergeCell ref="F8:G9"/>
    <mergeCell ref="H8:H9"/>
    <mergeCell ref="I8:I9"/>
    <mergeCell ref="A6:B7"/>
    <mergeCell ref="C6:D7"/>
    <mergeCell ref="E6:E7"/>
    <mergeCell ref="F6:G7"/>
    <mergeCell ref="H6:H7"/>
    <mergeCell ref="I6:I7"/>
    <mergeCell ref="A4:B5"/>
    <mergeCell ref="C4:D5"/>
    <mergeCell ref="E4:E5"/>
    <mergeCell ref="F4:G5"/>
    <mergeCell ref="H4:H5"/>
    <mergeCell ref="I4:I5"/>
    <mergeCell ref="A1:I1"/>
    <mergeCell ref="A2:B3"/>
    <mergeCell ref="C2:D3"/>
    <mergeCell ref="E2:E3"/>
    <mergeCell ref="F2:G3"/>
    <mergeCell ref="H2:H3"/>
    <mergeCell ref="I2:I3"/>
  </mergeCells>
  <printOptions/>
  <pageMargins left="0.39375" right="0.39375" top="0.5909722222222222" bottom="0.5909722222222222" header="0.5118110236220472" footer="0.5118110236220472"/>
  <pageSetup fitToHeight="0" fitToWidth="1"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Jiří Drahota</cp:lastModifiedBy>
  <dcterms:modified xsi:type="dcterms:W3CDTF">2024-01-24T16:12:16Z</dcterms:modified>
  <cp:category/>
  <cp:version/>
  <cp:contentType/>
  <cp:contentStatus/>
</cp:coreProperties>
</file>