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<sst xmlns="http://schemas.openxmlformats.org/spreadsheetml/2006/main" count="2155" uniqueCount="648">
  <si>
    <t>Slepý stavební rozpočet</t>
  </si>
  <si>
    <t>Název stavby:</t>
  </si>
  <si>
    <t>ZATEPLENÍ BYTOVÉHO DOMU</t>
  </si>
  <si>
    <t>Doba výstavby:</t>
  </si>
  <si>
    <t xml:space="preserve"> </t>
  </si>
  <si>
    <t>Objednatel:</t>
  </si>
  <si>
    <t>MĚSTO RUMBURK</t>
  </si>
  <si>
    <t>Druh stavby:</t>
  </si>
  <si>
    <t>STAVEBNÍ ÚPRAVY STÁVAJÍCÍHO OBJEKTU</t>
  </si>
  <si>
    <t>Začátek výstavby:</t>
  </si>
  <si>
    <t>Projektant:</t>
  </si>
  <si>
    <t>ING.JIŘÍ DRAHOTA</t>
  </si>
  <si>
    <t>Lokalita:</t>
  </si>
  <si>
    <t>RUMBURK, RŮŽOVÁ Č.P.1467</t>
  </si>
  <si>
    <t>Konec výstavby:</t>
  </si>
  <si>
    <t>Zhotovitel:</t>
  </si>
  <si>
    <t>BUDE VYBRÁN</t>
  </si>
  <si>
    <t>JKSO:</t>
  </si>
  <si>
    <t>Zpracováno dne:</t>
  </si>
  <si>
    <t>14.02.2018</t>
  </si>
  <si>
    <t>Zpracoval:</t>
  </si>
  <si>
    <t>JIŘÍ TROJAN, ING. JIŘÍ DRAHOTA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</si>
  <si>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</si>
  <si>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</si>
  <si>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</si>
  <si>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</si>
  <si>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</si>
  <si>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</si>
  <si>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</si>
  <si>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</si>
  <si>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</si>
  <si>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</si>
  <si>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</si>
  <si>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</si>
  <si>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</si>
  <si>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</si>
  <si>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</si>
  <si>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</si>
  <si>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</si>
  <si>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</si>
  <si>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</si>
  <si>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</si>
  <si>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</si>
  <si>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</si>
  <si>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</si>
  <si>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</si>
  <si>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</si>
  <si>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</si>
  <si>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Všeobecné konstrukce a práce</t>
  </si>
  <si>
    <t>1</t>
  </si>
  <si>
    <t>071334111RVV</t>
  </si>
  <si>
    <t>Zařízení staveniště 1,2%</t>
  </si>
  <si>
    <t>soub</t>
  </si>
  <si>
    <t>RTS II / 2017</t>
  </si>
  <si>
    <t>0_</t>
  </si>
  <si>
    <t>_</t>
  </si>
  <si>
    <t>2</t>
  </si>
  <si>
    <t>Doprava 1,5%</t>
  </si>
  <si>
    <t>3</t>
  </si>
  <si>
    <t>Technický dozor stavebníka</t>
  </si>
  <si>
    <t>12</t>
  </si>
  <si>
    <t>Odkopávky a prokopávky</t>
  </si>
  <si>
    <t>4</t>
  </si>
  <si>
    <t>122201101R00</t>
  </si>
  <si>
    <t>Odkopávky nezapažené v hor. 3 do 100 m3</t>
  </si>
  <si>
    <t>m3</t>
  </si>
  <si>
    <t>12_</t>
  </si>
  <si>
    <t>1_</t>
  </si>
  <si>
    <t>39,06*0,25   odkopávka pro okapový chodník</t>
  </si>
  <si>
    <t>16</t>
  </si>
  <si>
    <t>Přemístění výkopku</t>
  </si>
  <si>
    <t>5</t>
  </si>
  <si>
    <t>162601102R00</t>
  </si>
  <si>
    <t>Vodorovné přemístění výkopku z hor.1-4 do 5000 m</t>
  </si>
  <si>
    <t>16_</t>
  </si>
  <si>
    <t>9,765</t>
  </si>
  <si>
    <t>18</t>
  </si>
  <si>
    <t>Povrchové úpravy terénu</t>
  </si>
  <si>
    <t>6</t>
  </si>
  <si>
    <t>181006111R00</t>
  </si>
  <si>
    <t>Rozprostření zemin v rov./sklonu 1:5, tl. do 10 cm</t>
  </si>
  <si>
    <t>m2</t>
  </si>
  <si>
    <t>18_</t>
  </si>
  <si>
    <t>(10+10+33+33)*1   úpravy u okapového chodníku</t>
  </si>
  <si>
    <t>7</t>
  </si>
  <si>
    <t>180405111R00</t>
  </si>
  <si>
    <t>Založení trávníků ve veget. prefa.výsevem v rovině</t>
  </si>
  <si>
    <t>86</t>
  </si>
  <si>
    <t>31</t>
  </si>
  <si>
    <t>Zdi podpěrné a volné</t>
  </si>
  <si>
    <t>8</t>
  </si>
  <si>
    <t>310271530R00</t>
  </si>
  <si>
    <t>Zazdívka otvorů do 1 m2, pórobet.tvárnice, tl.25cm</t>
  </si>
  <si>
    <t>31_</t>
  </si>
  <si>
    <t>3_</t>
  </si>
  <si>
    <t>24*0,20*0,2*0,25   K-zazdění otvorů ve spížních prostorech</t>
  </si>
  <si>
    <t>9</t>
  </si>
  <si>
    <t>317942523RA0</t>
  </si>
  <si>
    <t>Překlad z nosníků L 50x50x120,</t>
  </si>
  <si>
    <t>kus</t>
  </si>
  <si>
    <t>1   dva kusy L50x50*120 pro zvednutí dveří na půdu</t>
  </si>
  <si>
    <t>59</t>
  </si>
  <si>
    <t>Dlažby a předlažby pozemních komunikací a zpevněných ploch</t>
  </si>
  <si>
    <t>10</t>
  </si>
  <si>
    <t>596811111RT4</t>
  </si>
  <si>
    <t>Okapový chodník z dlaždic kom.pro pěší, lože z kameniva těž.</t>
  </si>
  <si>
    <t>59_</t>
  </si>
  <si>
    <t>5_</t>
  </si>
  <si>
    <t>(32,525+32,525+2,85+3,67+10,75-2,1*2)*0,5   OK-včetně štěrku a dlaždic 50/50/5cm</t>
  </si>
  <si>
    <t>61</t>
  </si>
  <si>
    <t>Úprava povrchů vnitřní</t>
  </si>
  <si>
    <t>11</t>
  </si>
  <si>
    <t>612409991RT2</t>
  </si>
  <si>
    <t>Začištění omítek kolem oken,dveří apod.</t>
  </si>
  <si>
    <t>m</t>
  </si>
  <si>
    <t>61_</t>
  </si>
  <si>
    <t>6_</t>
  </si>
  <si>
    <t>5,4*2*3   po osazení dveří</t>
  </si>
  <si>
    <t>62</t>
  </si>
  <si>
    <t>Úprava povrchů vnější</t>
  </si>
  <si>
    <t>622311353RT3</t>
  </si>
  <si>
    <t>Zatepl.systém ETICS, nadpraží otvorů, EPS F šedý tl. 30 mm</t>
  </si>
  <si>
    <t>62_</t>
  </si>
  <si>
    <t>12*2,05*0,3   dle PD</t>
  </si>
  <si>
    <t>12*1,3*0,3</t>
  </si>
  <si>
    <t>26*1,25*0,3</t>
  </si>
  <si>
    <t>2*1,25*0,3</t>
  </si>
  <si>
    <t>37,86   podhled u okapu</t>
  </si>
  <si>
    <t>13</t>
  </si>
  <si>
    <t>622311353RT66</t>
  </si>
  <si>
    <t>Zatepl.systém ETICS, ostění otvorů, EPS F šedý tl. 30 mm</t>
  </si>
  <si>
    <t>12*1,475*2*0,3   dle PD</t>
  </si>
  <si>
    <t>12*1,475*2*0,3</t>
  </si>
  <si>
    <t>2*2,075*2*0,3</t>
  </si>
  <si>
    <t>12*1,175*2*0,15   zateplené sloupky mezi malými okny u toalet</t>
  </si>
  <si>
    <t>26*1,175*2*0,3</t>
  </si>
  <si>
    <t>14</t>
  </si>
  <si>
    <t>620991121R00</t>
  </si>
  <si>
    <t>Zakrývání výplní vnějších otvorů z lešení</t>
  </si>
  <si>
    <t>12*2,05*1,475</t>
  </si>
  <si>
    <t>12*1,3*1,475</t>
  </si>
  <si>
    <t>26*1,25*1,175</t>
  </si>
  <si>
    <t>2*1,25*2</t>
  </si>
  <si>
    <t>21*0,85*0,55</t>
  </si>
  <si>
    <t>1,12*2,05</t>
  </si>
  <si>
    <t>15</t>
  </si>
  <si>
    <t>622473187RT2</t>
  </si>
  <si>
    <t>Začišťovací okenní lišty ETICS s výztužnou tkaninou (APU)</t>
  </si>
  <si>
    <t>12*(2,05*1,475*2)</t>
  </si>
  <si>
    <t>12*(1,3+1,475*2)</t>
  </si>
  <si>
    <t>26*(1,25+1,175*2)</t>
  </si>
  <si>
    <t>2*(1,25+2*2)</t>
  </si>
  <si>
    <t>12*1,175*2</t>
  </si>
  <si>
    <t>622473187R23</t>
  </si>
  <si>
    <t>Parapetní profil ETICS s výztužnou tkaninou</t>
  </si>
  <si>
    <t>89,37</t>
  </si>
  <si>
    <t>17</t>
  </si>
  <si>
    <t>622904112R00</t>
  </si>
  <si>
    <t>Očištění fasád tlakovou vodou složitost 1 - 2</t>
  </si>
  <si>
    <t>652,682</t>
  </si>
  <si>
    <t>622434142R00</t>
  </si>
  <si>
    <t>Omítkový sanační systém dle PD</t>
  </si>
  <si>
    <t>81,35*1,5   po římsu,která bude odsekána</t>
  </si>
  <si>
    <t>19</t>
  </si>
  <si>
    <t>625981111R00</t>
  </si>
  <si>
    <t>Obklad vnějších stěn-soklová část deskami dle PD</t>
  </si>
  <si>
    <t>(9,9+9,9+32,525+32,525)*1,2   včetně ostění</t>
  </si>
  <si>
    <t>20</t>
  </si>
  <si>
    <t>766417111R00</t>
  </si>
  <si>
    <t>Podkladový rošt pod obložení stěn</t>
  </si>
  <si>
    <t>101,82   včetně latí 40/60,impregnováno,včetně trnů a spoj.materiálu</t>
  </si>
  <si>
    <t>21</t>
  </si>
  <si>
    <t>59590682</t>
  </si>
  <si>
    <t>Deska cementotřísková s hladkým povrchem, opatřena základním podnátěrem</t>
  </si>
  <si>
    <t>101,82   opatřena finální povrchovou úpravou, tl.14mm</t>
  </si>
  <si>
    <t>;ztratné 4%; 4,0728</t>
  </si>
  <si>
    <t>22</t>
  </si>
  <si>
    <t>622422111R00</t>
  </si>
  <si>
    <t>Oprava vnějších omítek vápen. hladk. II, do 10 %</t>
  </si>
  <si>
    <t>(9,9+9,9+32,525+32,525)*(10,4-1,5)</t>
  </si>
  <si>
    <t>-(2,05*1,475*12+1,3*1,475*12+1,25*1,175*26)</t>
  </si>
  <si>
    <t>-(1,25*2)*2</t>
  </si>
  <si>
    <t>-2,45*1,5*2</t>
  </si>
  <si>
    <t>23</t>
  </si>
  <si>
    <t>621477128R00</t>
  </si>
  <si>
    <t>Oprava vnější omítky hladké podhledů,II,do 80%,SMS</t>
  </si>
  <si>
    <t>(9,9+9,9+32,525+32,525)*0,4   u okapu</t>
  </si>
  <si>
    <t>2,45*0,8*2   vstupní markýzy</t>
  </si>
  <si>
    <t>24</t>
  </si>
  <si>
    <t>621481211RT2</t>
  </si>
  <si>
    <t>Montáž výztužné sítě (perlinky) do stěrky-podhledy</t>
  </si>
  <si>
    <t>2,45*0,8*2   podhledy markýz</t>
  </si>
  <si>
    <t>37,86   podhledy u okapu</t>
  </si>
  <si>
    <t>25</t>
  </si>
  <si>
    <t>621412212R00</t>
  </si>
  <si>
    <t>Omítka podhledů vnějších silikátová zatíraná 2mm</t>
  </si>
  <si>
    <t>26</t>
  </si>
  <si>
    <t>622311014R00</t>
  </si>
  <si>
    <t>Zakládací sada(na dřevěné lati),zdobeno fasádní profilací</t>
  </si>
  <si>
    <t>81,35   přířez EPS 100F  100x100</t>
  </si>
  <si>
    <t>27</t>
  </si>
  <si>
    <t>622311434RT3</t>
  </si>
  <si>
    <t>Difúzně otevřený zateplovací systém ETICS</t>
  </si>
  <si>
    <t>645,332   mimořádné paropropustné stabililované desky  z lehčeného</t>
  </si>
  <si>
    <t xml:space="preserve">   šedého polystyrenu se světle modrou reflexní povrchovou</t>
  </si>
  <si>
    <t xml:space="preserve">   úpravou, deklarovaný součinitel tepelné vodivosti lambda</t>
  </si>
  <si>
    <t xml:space="preserve">   0,031W/mK, tl.140mm</t>
  </si>
  <si>
    <t>28</t>
  </si>
  <si>
    <t>622397112R-03</t>
  </si>
  <si>
    <t>Úpravy KZS,plocha do 0,09 m2,u topidel WAF dle PD</t>
  </si>
  <si>
    <t>19   min 250mm od roury minerální deska z podélných vláken tl.140mm</t>
  </si>
  <si>
    <t>29</t>
  </si>
  <si>
    <t>622392915RT1</t>
  </si>
  <si>
    <t>Šambrána z EPS , výzt.stěrka, omítka zrnitost 1mm</t>
  </si>
  <si>
    <t>81,35*0,3   pata systému</t>
  </si>
  <si>
    <t>227,67*0,1   otvory</t>
  </si>
  <si>
    <t>2,45*0,8*2   markýz</t>
  </si>
  <si>
    <t>(2,1+2,1+1,75)*(0,34+0,34+0,20+0,20)*2   portály vstupů</t>
  </si>
  <si>
    <t>30</t>
  </si>
  <si>
    <t>621477328R00</t>
  </si>
  <si>
    <t>Oprava vně.omítky podhledů -reprofilační malta,výztuž bude přiložkovaná</t>
  </si>
  <si>
    <t>2,78*0,8*2   markýza nad vstupem</t>
  </si>
  <si>
    <t>63</t>
  </si>
  <si>
    <t>Podlahy a podlahové konstrukce</t>
  </si>
  <si>
    <t>632411150R00</t>
  </si>
  <si>
    <t>Cementový potěr, ruční zpracování, tl. 50 mm</t>
  </si>
  <si>
    <t>63_</t>
  </si>
  <si>
    <t>2,45*0,8*2   potěr markýz</t>
  </si>
  <si>
    <t>32</t>
  </si>
  <si>
    <t>289970111R00</t>
  </si>
  <si>
    <t>Separační vrstva z netkané geotextilie plošné hmotnosti min. 300g/m2</t>
  </si>
  <si>
    <t>137,61</t>
  </si>
  <si>
    <t>33</t>
  </si>
  <si>
    <t>58761503</t>
  </si>
  <si>
    <t>Vyrov. podsyp z lehkého kameniva z expandovaného jílu frakce 1-4mm, objemová hmotnost 500kg/m3, tl.50mm</t>
  </si>
  <si>
    <t>137,61*0,05</t>
  </si>
  <si>
    <t>;ztratné 2%; 0,13761</t>
  </si>
  <si>
    <t>64</t>
  </si>
  <si>
    <t>Výplně otvorů</t>
  </si>
  <si>
    <t>34</t>
  </si>
  <si>
    <t>642952221R00</t>
  </si>
  <si>
    <t>Dodatečné osaz.dveří plast s nadsvětlíkem s úpravou dle PD</t>
  </si>
  <si>
    <t>64_</t>
  </si>
  <si>
    <t>2   1000x2500 kompletní začištění</t>
  </si>
  <si>
    <t>35</t>
  </si>
  <si>
    <t>642953121R00</t>
  </si>
  <si>
    <t>Dodatečné osaz.dřev.dveří dle PD do půdního prostoru</t>
  </si>
  <si>
    <t>1   900/1970mm, požární odolnost EW-C 15 DP3+samozavírač</t>
  </si>
  <si>
    <t xml:space="preserve">   dřevěné dveře  v provedení do prostor s teplotním a vlhkostním</t>
  </si>
  <si>
    <t xml:space="preserve">   rozdílem(KLIMA)</t>
  </si>
  <si>
    <t>36</t>
  </si>
  <si>
    <t>642943111R00</t>
  </si>
  <si>
    <t>Osazování dveře ocel 800/1970 skládaná zárubeň dle PD</t>
  </si>
  <si>
    <t>1   rozdělení půdního prostoru,vše se začištěním povrchu</t>
  </si>
  <si>
    <t>713</t>
  </si>
  <si>
    <t>Izolace tepelné</t>
  </si>
  <si>
    <t>37</t>
  </si>
  <si>
    <t>713111125R00</t>
  </si>
  <si>
    <t>Izolace tepelné deskami z MV stropů rovných spodem, lepením</t>
  </si>
  <si>
    <t>713_</t>
  </si>
  <si>
    <t>71_</t>
  </si>
  <si>
    <t>38,33+12,04+4,73+4,02+4,55+4,55+4,59+4,69+4,21+4,45+4,65</t>
  </si>
  <si>
    <t>4,45+4,63+4,78+18,61+21,06+2,24+1,92+2,01+1,75</t>
  </si>
  <si>
    <t>1,79+20,94+3,39+4,58+1,74+2,01+1,78+40,79+2,21</t>
  </si>
  <si>
    <t>2,27+1,67</t>
  </si>
  <si>
    <t>38</t>
  </si>
  <si>
    <t>63150944</t>
  </si>
  <si>
    <t>Deska izolační z čedičové vlny tl. 140 mm</t>
  </si>
  <si>
    <t>235,43  sklepní prostory- desky s kolmými vlákny, se zkosenými hranami po obvoděna lícové straně</t>
  </si>
  <si>
    <t>;ztratné 8%; 18,8344   formát 1000/333mm, tl. 140mm, deklarovaný součinitel tepelné vodivosti 0,041W/mK</t>
  </si>
  <si>
    <t>39</t>
  </si>
  <si>
    <t>713131131RT2</t>
  </si>
  <si>
    <t>Izolace tepelná stěn lepením sklep,půda včetně perlinky a tmelu</t>
  </si>
  <si>
    <t>3*2,3*0,5*2   izolant EPS 100F tl.120mm dle PD sklep</t>
  </si>
  <si>
    <t>4,625*2*2,2+3,33*2,2-3   půda stěny</t>
  </si>
  <si>
    <t>40</t>
  </si>
  <si>
    <t>713111111RT2</t>
  </si>
  <si>
    <t>Izolace tepelné stropů vrchem kladené volně</t>
  </si>
  <si>
    <t>123,75   půda 2x</t>
  </si>
  <si>
    <t>136,61</t>
  </si>
  <si>
    <t>3,33*(2,5+3)   schodiště</t>
  </si>
  <si>
    <t>41</t>
  </si>
  <si>
    <t>28375997</t>
  </si>
  <si>
    <t>Deska izolační EPS 100 S 1250x600x120 mm</t>
  </si>
  <si>
    <t>2*260,36   podlaha půda</t>
  </si>
  <si>
    <t>;ztratné 2%; 10,4144</t>
  </si>
  <si>
    <t>42</t>
  </si>
  <si>
    <t>713100010RAD</t>
  </si>
  <si>
    <t>Izolace tepelné z desak z minerálních vláken volně položené</t>
  </si>
  <si>
    <t>(2,5+2,8)*3,33   strop nad schodištěm na půdu</t>
  </si>
  <si>
    <t>43</t>
  </si>
  <si>
    <t>63151412</t>
  </si>
  <si>
    <t>Deska z minerální plsti z čedičové vlny. tl. 160 mm, deklarovaný součinitel tep.vod. 0,035 W/mK</t>
  </si>
  <si>
    <t>2,5*3,33   rovná část stropu nad schodištěm</t>
  </si>
  <si>
    <t>44</t>
  </si>
  <si>
    <t>63151410</t>
  </si>
  <si>
    <t>Deska z minerální plsti z čedičové vlny tl. 140 mm, deklarovaný součinitel tep.vod. 0,035 W/mK</t>
  </si>
  <si>
    <t>2,8*3,33   šikmá část stropu nad schodištěm na půdu</t>
  </si>
  <si>
    <t>45</t>
  </si>
  <si>
    <t>998713102R00</t>
  </si>
  <si>
    <t>Přesun hmot pro izolace tepelné, výšky do 12 m</t>
  </si>
  <si>
    <t>t</t>
  </si>
  <si>
    <t>3,67</t>
  </si>
  <si>
    <t>721</t>
  </si>
  <si>
    <t>Kanalizace</t>
  </si>
  <si>
    <t>46</t>
  </si>
  <si>
    <t>721242804R00</t>
  </si>
  <si>
    <t>Demontáž lapače střešních splavenin DN 125</t>
  </si>
  <si>
    <t>721_</t>
  </si>
  <si>
    <t>72_</t>
  </si>
  <si>
    <t>47</t>
  </si>
  <si>
    <t>721242116R00</t>
  </si>
  <si>
    <t>Lapač střešních splavenin litinový DN 125</t>
  </si>
  <si>
    <t>6   s propojením</t>
  </si>
  <si>
    <t>48</t>
  </si>
  <si>
    <t>592273033</t>
  </si>
  <si>
    <t>Dvorní vpust z polymerbetonu 300x300, třída zatížení B 125 kN,se zpěvňujícím rámem z litiny,</t>
  </si>
  <si>
    <t>1   krycí rošt litina,vyjímatelný koš a integrovaný pachový uzávěr, odtok DN 110</t>
  </si>
  <si>
    <t>49</t>
  </si>
  <si>
    <t>592273031</t>
  </si>
  <si>
    <t>Vyrovnávací díl dvorní vpusti 300x300</t>
  </si>
  <si>
    <t>50</t>
  </si>
  <si>
    <t>592273030</t>
  </si>
  <si>
    <t>Nástavba dvorní vpusti 300x300, h 250</t>
  </si>
  <si>
    <t>51</t>
  </si>
  <si>
    <t>721170957R-02</t>
  </si>
  <si>
    <t>Propojení kanalizace -dvorní vpusť-dešťová kanalizace</t>
  </si>
  <si>
    <t>52</t>
  </si>
  <si>
    <t>998721102R00</t>
  </si>
  <si>
    <t>Přesun hmot pro vnitřní kanalizaci, výšky do 12 m</t>
  </si>
  <si>
    <t>0,35</t>
  </si>
  <si>
    <t>728</t>
  </si>
  <si>
    <t>Vzduchotechnika</t>
  </si>
  <si>
    <t>53</t>
  </si>
  <si>
    <t>728614213R00</t>
  </si>
  <si>
    <t>Demontáž vnějších výustek -odborné prodloužení topidel WAF</t>
  </si>
  <si>
    <t>728_</t>
  </si>
  <si>
    <t>762</t>
  </si>
  <si>
    <t>Konstrukce tesařské</t>
  </si>
  <si>
    <t>54</t>
  </si>
  <si>
    <t>762512235RT3</t>
  </si>
  <si>
    <t>Položení podlah pod PVC včetně desky OSB t.22mm</t>
  </si>
  <si>
    <t>762_</t>
  </si>
  <si>
    <t>76_</t>
  </si>
  <si>
    <t>260,36   půda</t>
  </si>
  <si>
    <t>55</t>
  </si>
  <si>
    <t>998762102R00</t>
  </si>
  <si>
    <t>Přesun hmot pro tesařské konstrukce, výšky do 12 m</t>
  </si>
  <si>
    <t>4,64</t>
  </si>
  <si>
    <t>764</t>
  </si>
  <si>
    <t>Konstrukce klempířské</t>
  </si>
  <si>
    <t>56</t>
  </si>
  <si>
    <t>764900040RAA</t>
  </si>
  <si>
    <t>Demontáž odpadních trub D 120 mm</t>
  </si>
  <si>
    <t>764_</t>
  </si>
  <si>
    <t>6*10,4</t>
  </si>
  <si>
    <t>57</t>
  </si>
  <si>
    <t>764900060RAA</t>
  </si>
  <si>
    <t>Demontáž parapetu</t>
  </si>
  <si>
    <t>21*0,85+2*1,25+26*1,25+12*1,3+12*2,05</t>
  </si>
  <si>
    <t>58</t>
  </si>
  <si>
    <t>764900035RA0</t>
  </si>
  <si>
    <t>Demontáž podokapních žlabů půlkruhových</t>
  </si>
  <si>
    <t>9,9+9,9+32,525+32,525</t>
  </si>
  <si>
    <t>764919331R00</t>
  </si>
  <si>
    <t>Demontáž oplechování římsy</t>
  </si>
  <si>
    <t>9,9+9,9+32,525+32,525-1,75*2</t>
  </si>
  <si>
    <t>60</t>
  </si>
  <si>
    <t>764252410RAB</t>
  </si>
  <si>
    <t>Žlab z lakovaného  plechu podokapní půlkruhovýr.š.330</t>
  </si>
  <si>
    <t>84,85   včetně,čel,hrdel,háků po 50cm</t>
  </si>
  <si>
    <t>764554410RAC</t>
  </si>
  <si>
    <t>Odpadní trouby z lakovaného pozinkovaného plechu kruhové DN120</t>
  </si>
  <si>
    <t>62,4   včetně kolen,objímek</t>
  </si>
  <si>
    <t>764311241R00</t>
  </si>
  <si>
    <t>Krytina hladká z Pz , svitky š.670 mm do 30°</t>
  </si>
  <si>
    <t>2,45*0,8*2   oplechování markýz včetně strukturované folie</t>
  </si>
  <si>
    <t xml:space="preserve">   separační vrstva  z netkané geotextilie plošné hmotnosti mun.300g/m2</t>
  </si>
  <si>
    <t>764410260RT2</t>
  </si>
  <si>
    <t>Oplechování parapetů včetně rohů Pz, rš 400 mm</t>
  </si>
  <si>
    <t>93,05</t>
  </si>
  <si>
    <t>998764102R00</t>
  </si>
  <si>
    <t>Přesun hmot pro klempířské konstr., výšky do 12 m</t>
  </si>
  <si>
    <t>1,71</t>
  </si>
  <si>
    <t>767</t>
  </si>
  <si>
    <t>Konstrukce doplňkové stavební (zámečnické)</t>
  </si>
  <si>
    <t>65</t>
  </si>
  <si>
    <t>767990010RVV</t>
  </si>
  <si>
    <t>Demontáž větracích mřížek na fasádách</t>
  </si>
  <si>
    <t>767_</t>
  </si>
  <si>
    <t>24   ze spíží</t>
  </si>
  <si>
    <t>66</t>
  </si>
  <si>
    <t>767900037RAB</t>
  </si>
  <si>
    <t>Dodávka a montáž plastových mřížek na fasádě 250/250</t>
  </si>
  <si>
    <t>7   bílá barva-s dodávkou mřížky</t>
  </si>
  <si>
    <t>67</t>
  </si>
  <si>
    <t>7671300VV</t>
  </si>
  <si>
    <t>Dodávka  a montáž větracích mřížek v suterénu</t>
  </si>
  <si>
    <t>7   DN 120 plast-</t>
  </si>
  <si>
    <t>68</t>
  </si>
  <si>
    <t>767222110R-01</t>
  </si>
  <si>
    <t>Montáž zábradlí z nerezové oceli do zdiva, dle PD</t>
  </si>
  <si>
    <t>1,25*2   včetně dodávky</t>
  </si>
  <si>
    <t>69</t>
  </si>
  <si>
    <t>767999801R00</t>
  </si>
  <si>
    <t>Demontáž doplňků staveb o hmotnosti do 50 kg</t>
  </si>
  <si>
    <t>kg</t>
  </si>
  <si>
    <t>3*4*2*1,64   demontáž zábradlí markýz</t>
  </si>
  <si>
    <t>70</t>
  </si>
  <si>
    <t>767999801R-05</t>
  </si>
  <si>
    <t>Demontáž doplňků staveb -satelitní paraboly,el.konzoly</t>
  </si>
  <si>
    <t>9   satelity</t>
  </si>
  <si>
    <t>2   el.konzoly</t>
  </si>
  <si>
    <t>71</t>
  </si>
  <si>
    <t>767995102R-07</t>
  </si>
  <si>
    <t>Výroba a montáž kov. atypických konstr.držáky satelitů</t>
  </si>
  <si>
    <t>12   montáže a dodávka</t>
  </si>
  <si>
    <t>72</t>
  </si>
  <si>
    <t>767162110R00</t>
  </si>
  <si>
    <t>Úprava  zábradlí rovné.z profilů do schodnic dle PD</t>
  </si>
  <si>
    <t>5*2   zábradlí bude včetně výplní za svislých tyčí zkrácono</t>
  </si>
  <si>
    <t xml:space="preserve">   a nově kotveno ke schodnicím</t>
  </si>
  <si>
    <t>73</t>
  </si>
  <si>
    <t>998767102R00</t>
  </si>
  <si>
    <t>Přesun hmot pro zámečnické konstr., výšky do 12 m</t>
  </si>
  <si>
    <t>0,25</t>
  </si>
  <si>
    <t>776</t>
  </si>
  <si>
    <t>Podlahy povlakové</t>
  </si>
  <si>
    <t>74</t>
  </si>
  <si>
    <t>776521200RU3</t>
  </si>
  <si>
    <t>Lepení povlakových podlah z  PVC a CV (vinyl)</t>
  </si>
  <si>
    <t>776_</t>
  </si>
  <si>
    <t>77_</t>
  </si>
  <si>
    <t>123,75   včetně dodávky a svařování,včetně soklíku</t>
  </si>
  <si>
    <t>75</t>
  </si>
  <si>
    <t>998776102R00</t>
  </si>
  <si>
    <t>Přesun hmot pro podlahy povlakové, výšky do 12 m</t>
  </si>
  <si>
    <t>0,33</t>
  </si>
  <si>
    <t>784</t>
  </si>
  <si>
    <t>Malby</t>
  </si>
  <si>
    <t>76</t>
  </si>
  <si>
    <t>784442021RT2</t>
  </si>
  <si>
    <t>Malba disperzní interiérová , výška do 3,8 m včetně penetrace</t>
  </si>
  <si>
    <t>784_</t>
  </si>
  <si>
    <t>78_</t>
  </si>
  <si>
    <t>235,43   podhled stropu v 1.p.p.dle PD</t>
  </si>
  <si>
    <t>77</t>
  </si>
  <si>
    <t>784402801R00</t>
  </si>
  <si>
    <t>Odstranění  a očištění stropní konstrukce v 1.p.p.</t>
  </si>
  <si>
    <t>235,43</t>
  </si>
  <si>
    <t>90</t>
  </si>
  <si>
    <t>Hodinové zúčtovací sazby (HZS)</t>
  </si>
  <si>
    <t>78</t>
  </si>
  <si>
    <t>900      RT2</t>
  </si>
  <si>
    <t>HZS-nezměřitelné práce-budou odsouhlaseny TDI</t>
  </si>
  <si>
    <t>h</t>
  </si>
  <si>
    <t>90_</t>
  </si>
  <si>
    <t>9_</t>
  </si>
  <si>
    <t>94</t>
  </si>
  <si>
    <t>Lešení a stavební výtahy</t>
  </si>
  <si>
    <t>79</t>
  </si>
  <si>
    <t>941941031R00</t>
  </si>
  <si>
    <t>Montáž lešení leh.řad.s podlahami,š.do 1 m, H 10 m</t>
  </si>
  <si>
    <t>94_</t>
  </si>
  <si>
    <t>(12+12+32,525+32,525)*10</t>
  </si>
  <si>
    <t>80</t>
  </si>
  <si>
    <t>941941191R00</t>
  </si>
  <si>
    <t>Příplatek za každý měsíc použití lešení k pol.1031</t>
  </si>
  <si>
    <t>890,5</t>
  </si>
  <si>
    <t>81</t>
  </si>
  <si>
    <t>941941831R00</t>
  </si>
  <si>
    <t>Demontáž lešení leh.řad.s podlahami,š.1 m, H 10 m</t>
  </si>
  <si>
    <t>82</t>
  </si>
  <si>
    <t>944944101R00</t>
  </si>
  <si>
    <t>Montáž záchytné sítě z umělých vláken nebo drátů</t>
  </si>
  <si>
    <t>83</t>
  </si>
  <si>
    <t>944945012R00</t>
  </si>
  <si>
    <t>Montáž záchytné stříšky H 4,5 m, šířky do 2 m</t>
  </si>
  <si>
    <t>84</t>
  </si>
  <si>
    <t>944945192R00</t>
  </si>
  <si>
    <t>Příplatek za každý měsíc použ.stříšky, k pol. 5012</t>
  </si>
  <si>
    <t>85</t>
  </si>
  <si>
    <t>944945812R00</t>
  </si>
  <si>
    <t>Demontáž záchytné stříšky H 4,5 m, šířky do 2 m</t>
  </si>
  <si>
    <t>998009101R00</t>
  </si>
  <si>
    <t>Přesun hmot lešení samostatně budovaného</t>
  </si>
  <si>
    <t>17,23</t>
  </si>
  <si>
    <t>95</t>
  </si>
  <si>
    <t>Různé dokončovací konstrukce a práce na pozemních stavbách</t>
  </si>
  <si>
    <t>87</t>
  </si>
  <si>
    <t>952901111R00</t>
  </si>
  <si>
    <t>Vyčištění budov o výšce podlaží do 4 m</t>
  </si>
  <si>
    <t>95_</t>
  </si>
  <si>
    <t>260,36</t>
  </si>
  <si>
    <t>96</t>
  </si>
  <si>
    <t>Bourání konstrukcí</t>
  </si>
  <si>
    <t>88</t>
  </si>
  <si>
    <t>962023391R00</t>
  </si>
  <si>
    <t>Bourání zdiva nadzákladového  na MVC</t>
  </si>
  <si>
    <t>96_</t>
  </si>
  <si>
    <t>4*0,4*0,4*0,9   sloupky na markýze</t>
  </si>
  <si>
    <t>89</t>
  </si>
  <si>
    <t>965081713VV</t>
  </si>
  <si>
    <t>Bourání dlažeb betonových</t>
  </si>
  <si>
    <t>4,20</t>
  </si>
  <si>
    <t>967032975R00</t>
  </si>
  <si>
    <t>Odsekání plošných fasádních prvků předsaz. nad 8cm</t>
  </si>
  <si>
    <t>9,9+9,9+32,525+32,525-2,1*2   římsa kolem objektu</t>
  </si>
  <si>
    <t>91</t>
  </si>
  <si>
    <t>965042131R00</t>
  </si>
  <si>
    <t>Bourání mazanin betonových  tl. 10 cm, pl. 4 m2</t>
  </si>
  <si>
    <t>2,45*0,8*0,1*2   podlaha markýz</t>
  </si>
  <si>
    <t>92</t>
  </si>
  <si>
    <t>968062455R00</t>
  </si>
  <si>
    <t>Vybourání dřevěných dveří</t>
  </si>
  <si>
    <t>1,8   půda</t>
  </si>
  <si>
    <t>2*1,8   sklep</t>
  </si>
  <si>
    <t>93</t>
  </si>
  <si>
    <t>968072455R00</t>
  </si>
  <si>
    <t>Vybourání kovových dveří</t>
  </si>
  <si>
    <t>97</t>
  </si>
  <si>
    <t>Prorážení otvorů a ostatní bourací práce</t>
  </si>
  <si>
    <t>970031130R00</t>
  </si>
  <si>
    <t>Vrtání jádrové do zdiva cihelného do D 120 mm</t>
  </si>
  <si>
    <t>97_</t>
  </si>
  <si>
    <t>7*0,5   VM v suterénu</t>
  </si>
  <si>
    <t>978015291R00</t>
  </si>
  <si>
    <t>Otlučení omítek vnějších MVC v složit.1-4 do 100 %</t>
  </si>
  <si>
    <t>(9,9+9,9+32,525+32,525)*1,5</t>
  </si>
  <si>
    <t>-2,1*1,5*2   odpočet vstupních dveří</t>
  </si>
  <si>
    <t>1,5*3/2   boční vstup do suterénu</t>
  </si>
  <si>
    <t>H99</t>
  </si>
  <si>
    <t>Ostatní přesuny hmot</t>
  </si>
  <si>
    <t>999281211R00</t>
  </si>
  <si>
    <t>Přesun hmot, opravy vněj. plášťů výšky do 25 m</t>
  </si>
  <si>
    <t>H99_</t>
  </si>
  <si>
    <t>0,11+7,07+26,82+2,37+0,26</t>
  </si>
  <si>
    <t>M21</t>
  </si>
  <si>
    <t>Elektromontáže</t>
  </si>
  <si>
    <t>210220101VV</t>
  </si>
  <si>
    <t>Demontáž vodiče svodové FeZn D do 10,Al 10,Cu 8 +podpěry</t>
  </si>
  <si>
    <t>M21_</t>
  </si>
  <si>
    <t>10,44*2</t>
  </si>
  <si>
    <t>98</t>
  </si>
  <si>
    <t>210220101RT1</t>
  </si>
  <si>
    <t>Vodiče svodové FeZn D do 10,Al 10,Cu 8 +podpěry</t>
  </si>
  <si>
    <t>10,44*2   s doplněním svorek,prodloužení držáků</t>
  </si>
  <si>
    <t>99</t>
  </si>
  <si>
    <t>212190005RVV</t>
  </si>
  <si>
    <t>Revize hromosvodu</t>
  </si>
  <si>
    <t>S0</t>
  </si>
  <si>
    <t>Přesuny sutí</t>
  </si>
  <si>
    <t>100</t>
  </si>
  <si>
    <t>979011221R00</t>
  </si>
  <si>
    <t>Svislá doprava suti a vybour. hmot</t>
  </si>
  <si>
    <t>RTS I / 2017</t>
  </si>
  <si>
    <t>S0_</t>
  </si>
  <si>
    <t>9,33+7,28</t>
  </si>
  <si>
    <t>101</t>
  </si>
  <si>
    <t>979082111R00</t>
  </si>
  <si>
    <t>Vnitrostaveništní doprava suti do 10 m</t>
  </si>
  <si>
    <t>16,61</t>
  </si>
  <si>
    <t>102</t>
  </si>
  <si>
    <t>979082121R00</t>
  </si>
  <si>
    <t>Příplatek k vnitrost. dopravě suti za dalších 5 m</t>
  </si>
  <si>
    <t>4*16,61</t>
  </si>
  <si>
    <t>103</t>
  </si>
  <si>
    <t>979083117R00</t>
  </si>
  <si>
    <t>Vodorovné přemístění suti na skládku do 6000 m</t>
  </si>
  <si>
    <t>104</t>
  </si>
  <si>
    <t>979083191R00</t>
  </si>
  <si>
    <t>Příplatek za dalších započatých 1000 m nad 6000 m</t>
  </si>
  <si>
    <t>42*16,61   řízená skládka</t>
  </si>
  <si>
    <t>105</t>
  </si>
  <si>
    <t>979087112R00</t>
  </si>
  <si>
    <t>Nakládání suti na dopravní prostředky</t>
  </si>
  <si>
    <t>106</t>
  </si>
  <si>
    <t>979990106R00</t>
  </si>
  <si>
    <t>Poplatek za skládku suti - cihelné výrobky</t>
  </si>
  <si>
    <t>Celkem:</t>
  </si>
  <si>
    <t>Poznámka: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</si>
  <si>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</si>
  <si>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</si>
  <si>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</si>
  <si>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</si>
  <si>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</si>
  <si>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</si>
  <si>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</si>
  <si>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Cenová soustava</t>
  </si>
  <si>
    <t>Deska cementotřísková s hladkým povrchemopatřena základním podnátěrem</t>
  </si>
  <si>
    <t>101,82   opatřena finálnípovrchovou úpravou tl.14mm</t>
  </si>
  <si>
    <t>Omítka  podhledů vnějších silikátový zatíraná 2mm</t>
  </si>
  <si>
    <t xml:space="preserve">   úpravou,deklarovaný součinitel tepelné vodivosti lambda</t>
  </si>
  <si>
    <t xml:space="preserve">   0,031W/mK,tl.140mm</t>
  </si>
  <si>
    <t>Vrstva geotextilie Geofiltex 300g/m2</t>
  </si>
  <si>
    <t>Vyrovnání  podsyp z lehkého kameniva z expandovaného jílu frakce 1-4mm,objemová hmotnost 500kg/m3.tl.50mm</t>
  </si>
  <si>
    <t>1   900/1970mmpožární odolnost EW-C 15 DP3+samozavírač</t>
  </si>
  <si>
    <t>Izolace tepelné stropů rovných spodem, lepením</t>
  </si>
  <si>
    <t>235,43   sklepní prostory-desky s kolmými vlákny,se skosenými hranami po obvodě</t>
  </si>
  <si>
    <t>;ztratné 8%; 18,8344   na lícové straně,deklarovaný součinitel tepelné vodivosti 0,041W/mK</t>
  </si>
  <si>
    <t>Deska z minerální plsti  z čedičové vlny. tl. 160 mm,deklarovaný součinitel tep.vod. 0,035 W/mK</t>
  </si>
  <si>
    <t>Deska z minerální plsti z čedičové vlny tl. 140 mm,deklarovaný součinitel tep.vod. 0,035 W/mK</t>
  </si>
  <si>
    <t>Dvorní vpust z polymerbetonu 300x300,třída zatížení B 125 kN,se zpěvňujícím rámem z litina,</t>
  </si>
  <si>
    <t>1   krycí rošt litina,vyjímatelný koš a integrovaný pachový uzávěr,odtok DN 110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</si>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</sst>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vertical="center" wrapText="1"/>
      <protection/>
    </xf>
    <xf numFmtId="164" fontId="3" fillId="0" borderId="3" xfId="0" applyNumberFormat="1" applyFont="1" applyFill="1" applyBorder="1" applyAlignment="1" applyProtection="1">
      <alignment vertical="center" wrapText="1"/>
      <protection/>
    </xf>
    <xf numFmtId="165" fontId="1" fillId="0" borderId="3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 wrapText="1"/>
      <protection/>
    </xf>
    <xf numFmtId="164" fontId="1" fillId="0" borderId="4" xfId="0" applyNumberFormat="1" applyFont="1" applyFill="1" applyBorder="1" applyAlignment="1" applyProtection="1">
      <alignment vertical="center" wrapText="1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 wrapText="1"/>
      <protection/>
    </xf>
    <xf numFmtId="164" fontId="1" fillId="0" borderId="7" xfId="0" applyNumberFormat="1" applyFont="1" applyFill="1" applyBorder="1" applyAlignment="1" applyProtection="1">
      <alignment vertical="center" wrapText="1"/>
      <protection/>
    </xf>
    <xf numFmtId="164" fontId="1" fillId="0" borderId="8" xfId="0" applyNumberFormat="1" applyFont="1" applyFill="1" applyBorder="1" applyAlignment="1" applyProtection="1">
      <alignment vertical="center" wrapText="1"/>
      <protection/>
    </xf>
    <xf numFmtId="165" fontId="1" fillId="0" borderId="8" xfId="0" applyNumberFormat="1" applyFont="1" applyFill="1" applyBorder="1" applyAlignment="1" applyProtection="1">
      <alignment vertical="center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5" fontId="1" fillId="0" borderId="16" xfId="0" applyNumberFormat="1" applyFont="1" applyFill="1" applyBorder="1" applyAlignment="1" applyProtection="1">
      <alignment vertical="center"/>
      <protection/>
    </xf>
    <xf numFmtId="165" fontId="1" fillId="0" borderId="17" xfId="0" applyNumberFormat="1" applyFont="1" applyFill="1" applyBorder="1" applyAlignment="1" applyProtection="1">
      <alignment vertical="center"/>
      <protection/>
    </xf>
    <xf numFmtId="165" fontId="3" fillId="0" borderId="17" xfId="0" applyNumberFormat="1" applyFon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3" xfId="0" applyNumberFormat="1" applyFont="1" applyFill="1" applyBorder="1" applyAlignment="1" applyProtection="1">
      <alignment vertical="center"/>
      <protection/>
    </xf>
    <xf numFmtId="165" fontId="3" fillId="2" borderId="23" xfId="0" applyNumberFormat="1" applyFont="1" applyFill="1" applyBorder="1" applyAlignment="1" applyProtection="1">
      <alignment vertical="center"/>
      <protection/>
    </xf>
    <xf numFmtId="166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vertical="center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vertical="center"/>
      <protection/>
    </xf>
    <xf numFmtId="166" fontId="4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vertical="center"/>
      <protection/>
    </xf>
    <xf numFmtId="166" fontId="3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vertical="center"/>
      <protection/>
    </xf>
    <xf numFmtId="165" fontId="3" fillId="0" borderId="24" xfId="0" applyNumberFormat="1" applyFont="1" applyFill="1" applyBorder="1" applyAlignment="1" applyProtection="1">
      <alignment vertical="center"/>
      <protection/>
    </xf>
    <xf numFmtId="165" fontId="3" fillId="0" borderId="25" xfId="0" applyNumberFormat="1" applyFont="1" applyFill="1" applyBorder="1" applyAlignment="1" applyProtection="1">
      <alignment vertical="center"/>
      <protection/>
    </xf>
    <xf numFmtId="165" fontId="3" fillId="0" borderId="26" xfId="0" applyNumberFormat="1" applyFont="1" applyFill="1" applyBorder="1" applyAlignment="1" applyProtection="1">
      <alignment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1" fillId="0" borderId="23" xfId="0" applyNumberFormat="1" applyFont="1" applyFill="1" applyBorder="1" applyAlignment="1" applyProtection="1">
      <alignment vertical="center"/>
      <protection/>
    </xf>
    <xf numFmtId="166" fontId="1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26" xfId="0" applyNumberFormat="1" applyFont="1" applyFill="1" applyBorder="1" applyAlignment="1" applyProtection="1">
      <alignment horizontal="right" vertical="center"/>
      <protection/>
    </xf>
    <xf numFmtId="165" fontId="1" fillId="0" borderId="23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4" xfId="0" applyNumberFormat="1" applyFont="1" applyFill="1" applyBorder="1" applyAlignment="1" applyProtection="1">
      <alignment vertical="center"/>
      <protection/>
    </xf>
    <xf numFmtId="165" fontId="1" fillId="0" borderId="6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Fill="1" applyBorder="1" applyAlignment="1" applyProtection="1">
      <alignment vertical="center" wrapText="1"/>
      <protection/>
    </xf>
    <xf numFmtId="164" fontId="1" fillId="0" borderId="1" xfId="0" applyNumberFormat="1" applyFont="1" applyFill="1" applyBorder="1" applyAlignment="1" applyProtection="1">
      <alignment vertical="center" wrapText="1"/>
      <protection/>
    </xf>
    <xf numFmtId="165" fontId="1" fillId="0" borderId="1" xfId="0" applyNumberFormat="1" applyFont="1" applyFill="1" applyBorder="1" applyAlignment="1" applyProtection="1">
      <alignment vertical="center"/>
      <protection/>
    </xf>
    <xf numFmtId="164" fontId="1" fillId="0" borderId="28" xfId="0" applyNumberFormat="1" applyFont="1" applyFill="1" applyBorder="1" applyAlignment="1" applyProtection="1">
      <alignment vertical="center" wrapText="1"/>
      <protection/>
    </xf>
    <xf numFmtId="165" fontId="7" fillId="0" borderId="29" xfId="0" applyNumberFormat="1" applyFont="1" applyFill="1" applyBorder="1" applyAlignment="1" applyProtection="1">
      <alignment horizontal="center" vertical="center"/>
      <protection/>
    </xf>
    <xf numFmtId="165" fontId="8" fillId="2" borderId="30" xfId="0" applyNumberFormat="1" applyFont="1" applyFill="1" applyBorder="1" applyAlignment="1" applyProtection="1">
      <alignment horizontal="center" vertical="center"/>
      <protection/>
    </xf>
    <xf numFmtId="165" fontId="9" fillId="0" borderId="30" xfId="0" applyNumberFormat="1" applyFont="1" applyFill="1" applyBorder="1" applyAlignment="1" applyProtection="1">
      <alignment vertical="center"/>
      <protection/>
    </xf>
    <xf numFmtId="165" fontId="10" fillId="0" borderId="31" xfId="0" applyNumberFormat="1" applyFont="1" applyFill="1" applyBorder="1" applyAlignment="1" applyProtection="1">
      <alignment vertical="center"/>
      <protection/>
    </xf>
    <xf numFmtId="165" fontId="11" fillId="0" borderId="30" xfId="0" applyNumberFormat="1" applyFont="1" applyFill="1" applyBorder="1" applyAlignment="1" applyProtection="1">
      <alignment vertical="center"/>
      <protection/>
    </xf>
    <xf numFmtId="166" fontId="11" fillId="0" borderId="30" xfId="0" applyNumberFormat="1" applyFont="1" applyFill="1" applyBorder="1" applyAlignment="1" applyProtection="1">
      <alignment horizontal="right" vertical="center"/>
      <protection/>
    </xf>
    <xf numFmtId="165" fontId="10" fillId="0" borderId="32" xfId="0" applyNumberFormat="1" applyFont="1" applyFill="1" applyBorder="1" applyAlignment="1" applyProtection="1">
      <alignment vertical="center"/>
      <protection/>
    </xf>
    <xf numFmtId="165" fontId="11" fillId="0" borderId="30" xfId="0" applyNumberFormat="1" applyFont="1" applyFill="1" applyBorder="1" applyAlignment="1" applyProtection="1">
      <alignment horizontal="right" vertical="center"/>
      <protection/>
    </xf>
    <xf numFmtId="165" fontId="10" fillId="0" borderId="30" xfId="0" applyNumberFormat="1" applyFont="1" applyFill="1" applyBorder="1" applyAlignment="1" applyProtection="1">
      <alignment vertical="center"/>
      <protection/>
    </xf>
    <xf numFmtId="164" fontId="1" fillId="0" borderId="4" xfId="0" applyNumberFormat="1" applyFont="1" applyFill="1" applyBorder="1" applyAlignment="1" applyProtection="1">
      <alignment vertical="center"/>
      <protection/>
    </xf>
    <xf numFmtId="166" fontId="11" fillId="0" borderId="20" xfId="0" applyNumberFormat="1" applyFont="1" applyFill="1" applyBorder="1" applyAlignment="1" applyProtection="1">
      <alignment horizontal="right" vertical="center"/>
      <protection/>
    </xf>
    <xf numFmtId="164" fontId="1" fillId="0" borderId="33" xfId="0" applyNumberFormat="1" applyFont="1" applyFill="1" applyBorder="1" applyAlignment="1" applyProtection="1">
      <alignment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165" fontId="10" fillId="2" borderId="34" xfId="0" applyNumberFormat="1" applyFont="1" applyFill="1" applyBorder="1" applyAlignment="1" applyProtection="1">
      <alignment vertical="center"/>
      <protection/>
    </xf>
    <xf numFmtId="166" fontId="10" fillId="2" borderId="35" xfId="0" applyNumberFormat="1" applyFont="1" applyFill="1" applyBorder="1" applyAlignment="1" applyProtection="1">
      <alignment horizontal="right" vertical="center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36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vertical="center"/>
      <protection/>
    </xf>
    <xf numFmtId="165" fontId="11" fillId="0" borderId="37" xfId="0" applyNumberFormat="1" applyFont="1" applyFill="1" applyBorder="1" applyAlignment="1" applyProtection="1">
      <alignment vertical="center"/>
      <protection/>
    </xf>
    <xf numFmtId="165" fontId="11" fillId="0" borderId="22" xfId="0" applyNumberFormat="1" applyFont="1" applyFill="1" applyBorder="1" applyAlignment="1" applyProtection="1">
      <alignment vertical="center"/>
      <protection/>
    </xf>
    <xf numFmtId="165" fontId="5" fillId="0" borderId="23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7"/>
  <sheetViews>
    <sheetView zoomScale="95" zoomScaleNormal="95" workbookViewId="0" topLeftCell="A1">
      <pane ySplit="11" topLeftCell="A36" activePane="bottomLeft" state="frozen"/>
      <selection pane="topLeft" activeCell="A1" sqref="A1"/>
      <selection pane="bottomLeft" activeCell="D140" sqref="D140"/>
    </sheetView>
  </sheetViews>
  <sheetFormatPr defaultColWidth="11.421875" defaultRowHeight="12.75" customHeight="1"/>
  <cols>
    <col min="1" max="1" width="3.7109375" style="1" customWidth="1"/>
    <col min="2" max="2" width="6.8515625" style="1" customWidth="1"/>
    <col min="3" max="3" width="13.28125" style="1" customWidth="1"/>
    <col min="4" max="4" width="104.7109375" style="1" customWidth="1"/>
    <col min="5" max="5" width="5.140625" style="1" customWidth="1"/>
    <col min="6" max="6" width="12.8515625" style="1" customWidth="1"/>
    <col min="7" max="7" width="12.00390625" style="1" customWidth="1"/>
    <col min="8" max="10" width="14.28125" style="1" customWidth="1"/>
    <col min="11" max="13" width="11.7109375" style="1" customWidth="1"/>
    <col min="14" max="14" width="11.57421875" style="1" hidden="1" customWidth="1"/>
    <col min="15" max="48" width="12.140625" style="1" hidden="1" customWidth="1"/>
    <col min="49" max="16384" width="11.57421875" style="1" customWidth="1"/>
  </cols>
  <sheetData>
    <row r="1" spans="1:13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3"/>
      <c r="D2" s="4" t="s">
        <v>2</v>
      </c>
      <c r="E2" s="5" t="s">
        <v>3</v>
      </c>
      <c r="F2" s="5"/>
      <c r="G2" s="5" t="s">
        <v>4</v>
      </c>
      <c r="H2" s="5"/>
      <c r="I2" s="6" t="s">
        <v>5</v>
      </c>
      <c r="J2" s="7" t="s">
        <v>6</v>
      </c>
      <c r="K2" s="7"/>
      <c r="L2" s="7"/>
      <c r="M2" s="7"/>
      <c r="N2" s="8"/>
    </row>
    <row r="3" spans="1:14" ht="12.75">
      <c r="A3" s="3"/>
      <c r="B3" s="3"/>
      <c r="C3" s="3"/>
      <c r="D3" s="4"/>
      <c r="E3" s="5"/>
      <c r="F3" s="5"/>
      <c r="G3" s="5"/>
      <c r="H3" s="5"/>
      <c r="I3" s="6"/>
      <c r="J3" s="6"/>
      <c r="K3" s="7"/>
      <c r="L3" s="7"/>
      <c r="M3" s="7"/>
      <c r="N3" s="8"/>
    </row>
    <row r="4" spans="1:14" ht="12.75" customHeight="1">
      <c r="A4" s="9" t="s">
        <v>7</v>
      </c>
      <c r="B4" s="9"/>
      <c r="C4" s="9"/>
      <c r="D4" s="10" t="s">
        <v>8</v>
      </c>
      <c r="E4" s="11" t="s">
        <v>9</v>
      </c>
      <c r="F4" s="11"/>
      <c r="G4" s="11" t="s">
        <v>4</v>
      </c>
      <c r="H4" s="11"/>
      <c r="I4" s="10" t="s">
        <v>10</v>
      </c>
      <c r="J4" s="12" t="s">
        <v>11</v>
      </c>
      <c r="K4" s="12"/>
      <c r="L4" s="12"/>
      <c r="M4" s="12"/>
      <c r="N4" s="8"/>
    </row>
    <row r="5" spans="1:14" ht="12.75">
      <c r="A5" s="9"/>
      <c r="B5" s="9"/>
      <c r="C5" s="9"/>
      <c r="D5" s="10"/>
      <c r="E5" s="10"/>
      <c r="F5" s="11"/>
      <c r="G5" s="11"/>
      <c r="H5" s="11"/>
      <c r="I5" s="10"/>
      <c r="J5" s="10"/>
      <c r="K5" s="12"/>
      <c r="L5" s="12"/>
      <c r="M5" s="12"/>
      <c r="N5" s="8"/>
    </row>
    <row r="6" spans="1:14" ht="12.75" customHeight="1">
      <c r="A6" s="9" t="s">
        <v>12</v>
      </c>
      <c r="B6" s="9"/>
      <c r="C6" s="9"/>
      <c r="D6" s="10" t="s">
        <v>13</v>
      </c>
      <c r="E6" s="11" t="s">
        <v>14</v>
      </c>
      <c r="F6" s="11"/>
      <c r="G6" s="11" t="s">
        <v>4</v>
      </c>
      <c r="H6" s="11"/>
      <c r="I6" s="10" t="s">
        <v>15</v>
      </c>
      <c r="J6" s="12" t="s">
        <v>16</v>
      </c>
      <c r="K6" s="12"/>
      <c r="L6" s="12"/>
      <c r="M6" s="12"/>
      <c r="N6" s="8"/>
    </row>
    <row r="7" spans="1:14" ht="12.75">
      <c r="A7" s="9"/>
      <c r="B7" s="9"/>
      <c r="C7" s="9"/>
      <c r="D7" s="10"/>
      <c r="E7" s="10"/>
      <c r="F7" s="11"/>
      <c r="G7" s="11"/>
      <c r="H7" s="11"/>
      <c r="I7" s="10"/>
      <c r="J7" s="10"/>
      <c r="K7" s="12"/>
      <c r="L7" s="12"/>
      <c r="M7" s="12"/>
      <c r="N7" s="8"/>
    </row>
    <row r="8" spans="1:14" ht="12.75" customHeight="1">
      <c r="A8" s="13" t="s">
        <v>17</v>
      </c>
      <c r="B8" s="13"/>
      <c r="C8" s="13"/>
      <c r="D8" s="14" t="s">
        <v>4</v>
      </c>
      <c r="E8" s="15" t="s">
        <v>18</v>
      </c>
      <c r="F8" s="15"/>
      <c r="G8" s="15" t="s">
        <v>19</v>
      </c>
      <c r="H8" s="15"/>
      <c r="I8" s="14" t="s">
        <v>20</v>
      </c>
      <c r="J8" s="16" t="s">
        <v>21</v>
      </c>
      <c r="K8" s="16"/>
      <c r="L8" s="16"/>
      <c r="M8" s="16"/>
      <c r="N8" s="8"/>
    </row>
    <row r="9" spans="1:14" ht="12.75">
      <c r="A9" s="13"/>
      <c r="B9" s="13"/>
      <c r="C9" s="13"/>
      <c r="D9" s="14"/>
      <c r="E9" s="14"/>
      <c r="F9" s="15"/>
      <c r="G9" s="15"/>
      <c r="H9" s="15"/>
      <c r="I9" s="14"/>
      <c r="J9" s="14"/>
      <c r="K9" s="16"/>
      <c r="L9" s="16"/>
      <c r="M9" s="16"/>
      <c r="N9" s="8"/>
    </row>
    <row r="10" spans="1:14" ht="12.75">
      <c r="A10" s="17" t="s">
        <v>22</v>
      </c>
      <c r="B10" s="18" t="s">
        <v>23</v>
      </c>
      <c r="C10" s="18" t="s">
        <v>24</v>
      </c>
      <c r="D10" s="18" t="s">
        <v>25</v>
      </c>
      <c r="E10" s="18" t="s">
        <v>26</v>
      </c>
      <c r="F10" s="19" t="s">
        <v>27</v>
      </c>
      <c r="G10" s="20" t="s">
        <v>28</v>
      </c>
      <c r="H10" s="21" t="s">
        <v>29</v>
      </c>
      <c r="I10" s="21"/>
      <c r="J10" s="21"/>
      <c r="K10" s="21" t="s">
        <v>30</v>
      </c>
      <c r="L10" s="21"/>
      <c r="M10" s="22" t="s">
        <v>31</v>
      </c>
      <c r="N10" s="23"/>
    </row>
    <row r="11" spans="1:24" ht="12.75">
      <c r="A11" s="24" t="s">
        <v>4</v>
      </c>
      <c r="B11" s="25" t="s">
        <v>4</v>
      </c>
      <c r="C11" s="25" t="s">
        <v>4</v>
      </c>
      <c r="D11" s="26" t="s">
        <v>32</v>
      </c>
      <c r="E11" s="25" t="s">
        <v>4</v>
      </c>
      <c r="F11" s="25" t="s">
        <v>4</v>
      </c>
      <c r="G11" s="27" t="s">
        <v>33</v>
      </c>
      <c r="H11" s="28" t="s">
        <v>34</v>
      </c>
      <c r="I11" s="29" t="s">
        <v>35</v>
      </c>
      <c r="J11" s="30" t="s">
        <v>36</v>
      </c>
      <c r="K11" s="28" t="s">
        <v>28</v>
      </c>
      <c r="L11" s="30" t="s">
        <v>36</v>
      </c>
      <c r="M11" s="31" t="s">
        <v>37</v>
      </c>
      <c r="N11" s="23"/>
      <c r="P11" s="32" t="s">
        <v>38</v>
      </c>
      <c r="Q11" s="32" t="s">
        <v>39</v>
      </c>
      <c r="R11" s="32" t="s">
        <v>40</v>
      </c>
      <c r="S11" s="32" t="s">
        <v>41</v>
      </c>
      <c r="T11" s="32" t="s">
        <v>42</v>
      </c>
      <c r="U11" s="32" t="s">
        <v>43</v>
      </c>
      <c r="V11" s="32" t="s">
        <v>44</v>
      </c>
      <c r="W11" s="32" t="s">
        <v>45</v>
      </c>
      <c r="X11" s="32" t="s">
        <v>46</v>
      </c>
    </row>
    <row r="12" spans="1:37" ht="12.75">
      <c r="A12" s="33"/>
      <c r="B12" s="34"/>
      <c r="C12" s="34" t="s">
        <v>47</v>
      </c>
      <c r="D12" s="34" t="s">
        <v>48</v>
      </c>
      <c r="E12" s="33" t="s">
        <v>4</v>
      </c>
      <c r="F12" s="33" t="s">
        <v>4</v>
      </c>
      <c r="G12" s="33" t="s">
        <v>4</v>
      </c>
      <c r="H12" s="35">
        <f>SUM(H13:H17)</f>
        <v>0</v>
      </c>
      <c r="I12" s="35">
        <f>SUM(I13:I17)</f>
        <v>0</v>
      </c>
      <c r="J12" s="35">
        <f>H12+I12</f>
        <v>0</v>
      </c>
      <c r="K12" s="36"/>
      <c r="L12" s="35">
        <f>SUM(L13:L17)</f>
        <v>0</v>
      </c>
      <c r="M12" s="36"/>
      <c r="Y12" s="32"/>
      <c r="AI12" s="37">
        <f>SUM(Z13:Z17)</f>
        <v>0</v>
      </c>
      <c r="AJ12" s="37">
        <f>SUM(AA13:AA17)</f>
        <v>0</v>
      </c>
      <c r="AK12" s="37">
        <f>SUM(AB13:AB17)</f>
        <v>0</v>
      </c>
    </row>
    <row r="13" spans="1:48" ht="12.75">
      <c r="A13" s="11" t="s">
        <v>49</v>
      </c>
      <c r="B13" s="11"/>
      <c r="C13" s="11" t="s">
        <v>50</v>
      </c>
      <c r="D13" s="11" t="s">
        <v>51</v>
      </c>
      <c r="E13" s="11" t="s">
        <v>52</v>
      </c>
      <c r="F13" s="38">
        <v>1</v>
      </c>
      <c r="G13" s="38">
        <v>0</v>
      </c>
      <c r="H13" s="38">
        <f>F13*AE13</f>
        <v>0</v>
      </c>
      <c r="I13" s="38">
        <f>J13-H13</f>
        <v>0</v>
      </c>
      <c r="J13" s="38">
        <f>F13*G13</f>
        <v>0</v>
      </c>
      <c r="K13" s="38">
        <v>0</v>
      </c>
      <c r="L13" s="38">
        <f>F13*K13</f>
        <v>0</v>
      </c>
      <c r="M13" s="39" t="s">
        <v>53</v>
      </c>
      <c r="P13" s="38">
        <f>IF(AG13="5",J13,0)</f>
        <v>0</v>
      </c>
      <c r="R13" s="38">
        <f>IF(AG13="1",H13,0)</f>
        <v>0</v>
      </c>
      <c r="S13" s="38">
        <f>IF(AG13="1",I13,0)</f>
        <v>0</v>
      </c>
      <c r="T13" s="38">
        <f>IF(AG13="7",H13,0)</f>
        <v>0</v>
      </c>
      <c r="U13" s="38">
        <f>IF(AG13="7",I13,0)</f>
        <v>0</v>
      </c>
      <c r="V13" s="38">
        <f>IF(AG13="2",H13,0)</f>
        <v>0</v>
      </c>
      <c r="W13" s="38">
        <f>IF(AG13="2",I13,0)</f>
        <v>0</v>
      </c>
      <c r="X13" s="38">
        <f>IF(AG13="0",J13,0)</f>
        <v>0</v>
      </c>
      <c r="Y13" s="32"/>
      <c r="Z13" s="38">
        <f>IF(AD13=0,J13,0)</f>
        <v>0</v>
      </c>
      <c r="AA13" s="38">
        <f>IF(AD13=15,J13,0)</f>
        <v>0</v>
      </c>
      <c r="AB13" s="38">
        <f>IF(AD13=21,J13,0)</f>
        <v>0</v>
      </c>
      <c r="AD13" s="38">
        <v>15</v>
      </c>
      <c r="AE13" s="38">
        <f>G13*0</f>
        <v>0</v>
      </c>
      <c r="AF13" s="38">
        <f>G13*(1-0)</f>
        <v>0</v>
      </c>
      <c r="AG13" s="39" t="s">
        <v>49</v>
      </c>
      <c r="AM13" s="38">
        <f>F13*AE13</f>
        <v>0</v>
      </c>
      <c r="AN13" s="38">
        <f>F13*AF13</f>
        <v>0</v>
      </c>
      <c r="AO13" s="39" t="s">
        <v>54</v>
      </c>
      <c r="AP13" s="39" t="s">
        <v>54</v>
      </c>
      <c r="AQ13" s="32" t="s">
        <v>55</v>
      </c>
      <c r="AS13" s="38">
        <f>AM13+AN13</f>
        <v>0</v>
      </c>
      <c r="AT13" s="38">
        <f>G13/(100-AU13)*100</f>
        <v>0</v>
      </c>
      <c r="AU13" s="38">
        <v>0</v>
      </c>
      <c r="AV13" s="38">
        <f>L13</f>
        <v>0</v>
      </c>
    </row>
    <row r="14" spans="4:6" ht="12.75">
      <c r="D14" s="40" t="s">
        <v>49</v>
      </c>
      <c r="F14" s="41">
        <v>1</v>
      </c>
    </row>
    <row r="15" spans="1:48" ht="12.75">
      <c r="A15" s="11" t="s">
        <v>56</v>
      </c>
      <c r="B15" s="11"/>
      <c r="C15" s="11" t="s">
        <v>50</v>
      </c>
      <c r="D15" s="11" t="s">
        <v>57</v>
      </c>
      <c r="E15" s="11" t="s">
        <v>52</v>
      </c>
      <c r="F15" s="38">
        <v>1</v>
      </c>
      <c r="G15" s="38">
        <v>0</v>
      </c>
      <c r="H15" s="38">
        <f>F15*AE15</f>
        <v>0</v>
      </c>
      <c r="I15" s="38">
        <f>J15-H15</f>
        <v>0</v>
      </c>
      <c r="J15" s="38">
        <f>F15*G15</f>
        <v>0</v>
      </c>
      <c r="K15" s="38">
        <v>0</v>
      </c>
      <c r="L15" s="38">
        <f>F15*K15</f>
        <v>0</v>
      </c>
      <c r="M15" s="39" t="s">
        <v>53</v>
      </c>
      <c r="P15" s="38">
        <f>IF(AG15="5",J15,0)</f>
        <v>0</v>
      </c>
      <c r="R15" s="38">
        <f>IF(AG15="1",H15,0)</f>
        <v>0</v>
      </c>
      <c r="S15" s="38">
        <f>IF(AG15="1",I15,0)</f>
        <v>0</v>
      </c>
      <c r="T15" s="38">
        <f>IF(AG15="7",H15,0)</f>
        <v>0</v>
      </c>
      <c r="U15" s="38">
        <f>IF(AG15="7",I15,0)</f>
        <v>0</v>
      </c>
      <c r="V15" s="38">
        <f>IF(AG15="2",H15,0)</f>
        <v>0</v>
      </c>
      <c r="W15" s="38">
        <f>IF(AG15="2",I15,0)</f>
        <v>0</v>
      </c>
      <c r="X15" s="38">
        <f>IF(AG15="0",J15,0)</f>
        <v>0</v>
      </c>
      <c r="Y15" s="32"/>
      <c r="Z15" s="38">
        <f>IF(AD15=0,J15,0)</f>
        <v>0</v>
      </c>
      <c r="AA15" s="38">
        <f>IF(AD15=15,J15,0)</f>
        <v>0</v>
      </c>
      <c r="AB15" s="38">
        <f>IF(AD15=21,J15,0)</f>
        <v>0</v>
      </c>
      <c r="AD15" s="38">
        <v>15</v>
      </c>
      <c r="AE15" s="38">
        <f>G15*0</f>
        <v>0</v>
      </c>
      <c r="AF15" s="38">
        <f>G15*(1-0)</f>
        <v>0</v>
      </c>
      <c r="AG15" s="39" t="s">
        <v>49</v>
      </c>
      <c r="AM15" s="38">
        <f>F15*AE15</f>
        <v>0</v>
      </c>
      <c r="AN15" s="38">
        <f>F15*AF15</f>
        <v>0</v>
      </c>
      <c r="AO15" s="39" t="s">
        <v>54</v>
      </c>
      <c r="AP15" s="39" t="s">
        <v>54</v>
      </c>
      <c r="AQ15" s="32" t="s">
        <v>55</v>
      </c>
      <c r="AS15" s="38">
        <f>AM15+AN15</f>
        <v>0</v>
      </c>
      <c r="AT15" s="38">
        <f>G15/(100-AU15)*100</f>
        <v>0</v>
      </c>
      <c r="AU15" s="38">
        <v>0</v>
      </c>
      <c r="AV15" s="38">
        <f>L15</f>
        <v>0</v>
      </c>
    </row>
    <row r="16" spans="4:6" ht="12.75">
      <c r="D16" s="40" t="s">
        <v>49</v>
      </c>
      <c r="F16" s="41">
        <v>1</v>
      </c>
    </row>
    <row r="17" spans="1:48" ht="12.75">
      <c r="A17" s="11" t="s">
        <v>58</v>
      </c>
      <c r="B17" s="11"/>
      <c r="C17" s="11" t="s">
        <v>50</v>
      </c>
      <c r="D17" s="11" t="s">
        <v>59</v>
      </c>
      <c r="E17" s="11" t="s">
        <v>52</v>
      </c>
      <c r="F17" s="38">
        <v>1</v>
      </c>
      <c r="G17" s="38">
        <v>0</v>
      </c>
      <c r="H17" s="38">
        <f>F17*AE17</f>
        <v>0</v>
      </c>
      <c r="I17" s="38">
        <f>J17-H17</f>
        <v>0</v>
      </c>
      <c r="J17" s="38">
        <f>F17*G17</f>
        <v>0</v>
      </c>
      <c r="K17" s="38">
        <v>0</v>
      </c>
      <c r="L17" s="38">
        <f>F17*K17</f>
        <v>0</v>
      </c>
      <c r="M17" s="39" t="s">
        <v>53</v>
      </c>
      <c r="P17" s="38">
        <f>IF(AG17="5",J17,0)</f>
        <v>0</v>
      </c>
      <c r="R17" s="38">
        <f>IF(AG17="1",H17,0)</f>
        <v>0</v>
      </c>
      <c r="S17" s="38">
        <f>IF(AG17="1",I17,0)</f>
        <v>0</v>
      </c>
      <c r="T17" s="38">
        <f>IF(AG17="7",H17,0)</f>
        <v>0</v>
      </c>
      <c r="U17" s="38">
        <f>IF(AG17="7",I17,0)</f>
        <v>0</v>
      </c>
      <c r="V17" s="38">
        <f>IF(AG17="2",H17,0)</f>
        <v>0</v>
      </c>
      <c r="W17" s="38">
        <f>IF(AG17="2",I17,0)</f>
        <v>0</v>
      </c>
      <c r="X17" s="38">
        <f>IF(AG17="0",J17,0)</f>
        <v>0</v>
      </c>
      <c r="Y17" s="32"/>
      <c r="Z17" s="38">
        <f>IF(AD17=0,J17,0)</f>
        <v>0</v>
      </c>
      <c r="AA17" s="38">
        <f>IF(AD17=15,J17,0)</f>
        <v>0</v>
      </c>
      <c r="AB17" s="38">
        <f>IF(AD17=21,J17,0)</f>
        <v>0</v>
      </c>
      <c r="AD17" s="38">
        <v>15</v>
      </c>
      <c r="AE17" s="38">
        <f>G17*0</f>
        <v>0</v>
      </c>
      <c r="AF17" s="38">
        <f>G17*(1-0)</f>
        <v>0</v>
      </c>
      <c r="AG17" s="39" t="s">
        <v>49</v>
      </c>
      <c r="AM17" s="38">
        <f>F17*AE17</f>
        <v>0</v>
      </c>
      <c r="AN17" s="38">
        <f>F17*AF17</f>
        <v>0</v>
      </c>
      <c r="AO17" s="39" t="s">
        <v>54</v>
      </c>
      <c r="AP17" s="39" t="s">
        <v>54</v>
      </c>
      <c r="AQ17" s="32" t="s">
        <v>55</v>
      </c>
      <c r="AS17" s="38">
        <f>AM17+AN17</f>
        <v>0</v>
      </c>
      <c r="AT17" s="38">
        <f>G17/(100-AU17)*100</f>
        <v>0</v>
      </c>
      <c r="AU17" s="38">
        <v>0</v>
      </c>
      <c r="AV17" s="38">
        <f>L17</f>
        <v>0</v>
      </c>
    </row>
    <row r="18" spans="4:6" ht="12.75">
      <c r="D18" s="40" t="s">
        <v>49</v>
      </c>
      <c r="F18" s="41">
        <v>1</v>
      </c>
    </row>
    <row r="19" spans="1:37" ht="12.75">
      <c r="A19" s="42"/>
      <c r="B19" s="43"/>
      <c r="C19" s="43" t="s">
        <v>60</v>
      </c>
      <c r="D19" s="43" t="s">
        <v>61</v>
      </c>
      <c r="E19" s="42" t="s">
        <v>4</v>
      </c>
      <c r="F19" s="42" t="s">
        <v>4</v>
      </c>
      <c r="G19" s="42" t="s">
        <v>4</v>
      </c>
      <c r="H19" s="37">
        <f>SUM(H20:H20)</f>
        <v>0</v>
      </c>
      <c r="I19" s="37">
        <f>SUM(I20:I20)</f>
        <v>0</v>
      </c>
      <c r="J19" s="37">
        <f>H19+I19</f>
        <v>0</v>
      </c>
      <c r="K19" s="32"/>
      <c r="L19" s="37">
        <f>SUM(L20:L20)</f>
        <v>0</v>
      </c>
      <c r="M19" s="32"/>
      <c r="Y19" s="32"/>
      <c r="AI19" s="37">
        <f>SUM(Z20:Z20)</f>
        <v>0</v>
      </c>
      <c r="AJ19" s="37">
        <f>SUM(AA20:AA20)</f>
        <v>0</v>
      </c>
      <c r="AK19" s="37">
        <f>SUM(AB20:AB20)</f>
        <v>0</v>
      </c>
    </row>
    <row r="20" spans="1:48" ht="12.75">
      <c r="A20" s="11" t="s">
        <v>62</v>
      </c>
      <c r="B20" s="11"/>
      <c r="C20" s="11" t="s">
        <v>63</v>
      </c>
      <c r="D20" s="11" t="s">
        <v>64</v>
      </c>
      <c r="E20" s="11" t="s">
        <v>65</v>
      </c>
      <c r="F20" s="38">
        <v>9.765</v>
      </c>
      <c r="G20" s="38">
        <v>0</v>
      </c>
      <c r="H20" s="38">
        <f>F20*AE20</f>
        <v>0</v>
      </c>
      <c r="I20" s="38">
        <f>J20-H20</f>
        <v>0</v>
      </c>
      <c r="J20" s="38">
        <f>F20*G20</f>
        <v>0</v>
      </c>
      <c r="K20" s="38">
        <v>0</v>
      </c>
      <c r="L20" s="38">
        <f>F20*K20</f>
        <v>0</v>
      </c>
      <c r="M20" s="39" t="s">
        <v>53</v>
      </c>
      <c r="P20" s="38">
        <f>IF(AG20="5",J20,0)</f>
        <v>0</v>
      </c>
      <c r="R20" s="38">
        <f>IF(AG20="1",H20,0)</f>
        <v>0</v>
      </c>
      <c r="S20" s="38">
        <f>IF(AG20="1",I20,0)</f>
        <v>0</v>
      </c>
      <c r="T20" s="38">
        <f>IF(AG20="7",H20,0)</f>
        <v>0</v>
      </c>
      <c r="U20" s="38">
        <f>IF(AG20="7",I20,0)</f>
        <v>0</v>
      </c>
      <c r="V20" s="38">
        <f>IF(AG20="2",H20,0)</f>
        <v>0</v>
      </c>
      <c r="W20" s="38">
        <f>IF(AG20="2",I20,0)</f>
        <v>0</v>
      </c>
      <c r="X20" s="38">
        <f>IF(AG20="0",J20,0)</f>
        <v>0</v>
      </c>
      <c r="Y20" s="32"/>
      <c r="Z20" s="38">
        <f>IF(AD20=0,J20,0)</f>
        <v>0</v>
      </c>
      <c r="AA20" s="38">
        <f>IF(AD20=15,J20,0)</f>
        <v>0</v>
      </c>
      <c r="AB20" s="38">
        <f>IF(AD20=21,J20,0)</f>
        <v>0</v>
      </c>
      <c r="AD20" s="38">
        <v>15</v>
      </c>
      <c r="AE20" s="38">
        <f>G20*0</f>
        <v>0</v>
      </c>
      <c r="AF20" s="38">
        <f>G20*(1-0)</f>
        <v>0</v>
      </c>
      <c r="AG20" s="39" t="s">
        <v>49</v>
      </c>
      <c r="AM20" s="38">
        <f>F20*AE20</f>
        <v>0</v>
      </c>
      <c r="AN20" s="38">
        <f>F20*AF20</f>
        <v>0</v>
      </c>
      <c r="AO20" s="39" t="s">
        <v>66</v>
      </c>
      <c r="AP20" s="39" t="s">
        <v>67</v>
      </c>
      <c r="AQ20" s="32" t="s">
        <v>55</v>
      </c>
      <c r="AS20" s="38">
        <f>AM20+AN20</f>
        <v>0</v>
      </c>
      <c r="AT20" s="38">
        <f>G20/(100-AU20)*100</f>
        <v>0</v>
      </c>
      <c r="AU20" s="38">
        <v>0</v>
      </c>
      <c r="AV20" s="38">
        <f>L20</f>
        <v>0</v>
      </c>
    </row>
    <row r="21" spans="4:6" ht="12.75">
      <c r="D21" s="40" t="s">
        <v>68</v>
      </c>
      <c r="F21" s="41">
        <v>9.765</v>
      </c>
    </row>
    <row r="22" spans="1:37" ht="12.75">
      <c r="A22" s="42"/>
      <c r="B22" s="43"/>
      <c r="C22" s="43" t="s">
        <v>69</v>
      </c>
      <c r="D22" s="43" t="s">
        <v>70</v>
      </c>
      <c r="E22" s="42" t="s">
        <v>4</v>
      </c>
      <c r="F22" s="42" t="s">
        <v>4</v>
      </c>
      <c r="G22" s="42" t="s">
        <v>4</v>
      </c>
      <c r="H22" s="37">
        <f>SUM(H23:H23)</f>
        <v>0</v>
      </c>
      <c r="I22" s="37">
        <f>SUM(I23:I23)</f>
        <v>0</v>
      </c>
      <c r="J22" s="37">
        <f>H22+I22</f>
        <v>0</v>
      </c>
      <c r="K22" s="32"/>
      <c r="L22" s="37">
        <f>SUM(L23:L23)</f>
        <v>0</v>
      </c>
      <c r="M22" s="32"/>
      <c r="Y22" s="32"/>
      <c r="AI22" s="37">
        <f>SUM(Z23:Z23)</f>
        <v>0</v>
      </c>
      <c r="AJ22" s="37">
        <f>SUM(AA23:AA23)</f>
        <v>0</v>
      </c>
      <c r="AK22" s="37">
        <f>SUM(AB23:AB23)</f>
        <v>0</v>
      </c>
    </row>
    <row r="23" spans="1:48" ht="12.75">
      <c r="A23" s="11" t="s">
        <v>71</v>
      </c>
      <c r="B23" s="11"/>
      <c r="C23" s="11" t="s">
        <v>72</v>
      </c>
      <c r="D23" s="11" t="s">
        <v>73</v>
      </c>
      <c r="E23" s="11" t="s">
        <v>65</v>
      </c>
      <c r="F23" s="38">
        <v>9.765</v>
      </c>
      <c r="G23" s="38">
        <v>0</v>
      </c>
      <c r="H23" s="38">
        <f>F23*AE23</f>
        <v>0</v>
      </c>
      <c r="I23" s="38">
        <f>J23-H23</f>
        <v>0</v>
      </c>
      <c r="J23" s="38">
        <f>F23*G23</f>
        <v>0</v>
      </c>
      <c r="K23" s="38">
        <v>0</v>
      </c>
      <c r="L23" s="38">
        <f>F23*K23</f>
        <v>0</v>
      </c>
      <c r="M23" s="39" t="s">
        <v>53</v>
      </c>
      <c r="P23" s="38">
        <f>IF(AG23="5",J23,0)</f>
        <v>0</v>
      </c>
      <c r="R23" s="38">
        <f>IF(AG23="1",H23,0)</f>
        <v>0</v>
      </c>
      <c r="S23" s="38">
        <f>IF(AG23="1",I23,0)</f>
        <v>0</v>
      </c>
      <c r="T23" s="38">
        <f>IF(AG23="7",H23,0)</f>
        <v>0</v>
      </c>
      <c r="U23" s="38">
        <f>IF(AG23="7",I23,0)</f>
        <v>0</v>
      </c>
      <c r="V23" s="38">
        <f>IF(AG23="2",H23,0)</f>
        <v>0</v>
      </c>
      <c r="W23" s="38">
        <f>IF(AG23="2",I23,0)</f>
        <v>0</v>
      </c>
      <c r="X23" s="38">
        <f>IF(AG23="0",J23,0)</f>
        <v>0</v>
      </c>
      <c r="Y23" s="32"/>
      <c r="Z23" s="38">
        <f>IF(AD23=0,J23,0)</f>
        <v>0</v>
      </c>
      <c r="AA23" s="38">
        <f>IF(AD23=15,J23,0)</f>
        <v>0</v>
      </c>
      <c r="AB23" s="38">
        <f>IF(AD23=21,J23,0)</f>
        <v>0</v>
      </c>
      <c r="AD23" s="38">
        <v>15</v>
      </c>
      <c r="AE23" s="38">
        <f>G23*0</f>
        <v>0</v>
      </c>
      <c r="AF23" s="38">
        <f>G23*(1-0)</f>
        <v>0</v>
      </c>
      <c r="AG23" s="39" t="s">
        <v>49</v>
      </c>
      <c r="AM23" s="38">
        <f>F23*AE23</f>
        <v>0</v>
      </c>
      <c r="AN23" s="38">
        <f>F23*AF23</f>
        <v>0</v>
      </c>
      <c r="AO23" s="39" t="s">
        <v>74</v>
      </c>
      <c r="AP23" s="39" t="s">
        <v>67</v>
      </c>
      <c r="AQ23" s="32" t="s">
        <v>55</v>
      </c>
      <c r="AS23" s="38">
        <f>AM23+AN23</f>
        <v>0</v>
      </c>
      <c r="AT23" s="38">
        <f>G23/(100-AU23)*100</f>
        <v>0</v>
      </c>
      <c r="AU23" s="38">
        <v>0</v>
      </c>
      <c r="AV23" s="38">
        <f>L23</f>
        <v>0</v>
      </c>
    </row>
    <row r="24" spans="4:6" ht="12.75">
      <c r="D24" s="40" t="s">
        <v>75</v>
      </c>
      <c r="F24" s="41">
        <v>9.765</v>
      </c>
    </row>
    <row r="25" spans="1:37" ht="12.75">
      <c r="A25" s="42"/>
      <c r="B25" s="43"/>
      <c r="C25" s="43" t="s">
        <v>76</v>
      </c>
      <c r="D25" s="43" t="s">
        <v>77</v>
      </c>
      <c r="E25" s="42" t="s">
        <v>4</v>
      </c>
      <c r="F25" s="42" t="s">
        <v>4</v>
      </c>
      <c r="G25" s="42" t="s">
        <v>4</v>
      </c>
      <c r="H25" s="37">
        <f>SUM(H26:H28)</f>
        <v>0</v>
      </c>
      <c r="I25" s="37">
        <f>SUM(I26:I28)</f>
        <v>0</v>
      </c>
      <c r="J25" s="37">
        <f>H25+I25</f>
        <v>0</v>
      </c>
      <c r="K25" s="32"/>
      <c r="L25" s="37">
        <f>SUM(L26:L28)</f>
        <v>0</v>
      </c>
      <c r="M25" s="32"/>
      <c r="Y25" s="32"/>
      <c r="AI25" s="37">
        <f>SUM(Z26:Z28)</f>
        <v>0</v>
      </c>
      <c r="AJ25" s="37">
        <f>SUM(AA26:AA28)</f>
        <v>0</v>
      </c>
      <c r="AK25" s="37">
        <f>SUM(AB26:AB28)</f>
        <v>0</v>
      </c>
    </row>
    <row r="26" spans="1:48" ht="12.75">
      <c r="A26" s="11" t="s">
        <v>78</v>
      </c>
      <c r="B26" s="11"/>
      <c r="C26" s="11" t="s">
        <v>79</v>
      </c>
      <c r="D26" s="11" t="s">
        <v>80</v>
      </c>
      <c r="E26" s="11" t="s">
        <v>81</v>
      </c>
      <c r="F26" s="38">
        <v>86</v>
      </c>
      <c r="G26" s="38">
        <v>0</v>
      </c>
      <c r="H26" s="38">
        <f>F26*AE26</f>
        <v>0</v>
      </c>
      <c r="I26" s="38">
        <f>J26-H26</f>
        <v>0</v>
      </c>
      <c r="J26" s="38">
        <f>F26*G26</f>
        <v>0</v>
      </c>
      <c r="K26" s="38">
        <v>0</v>
      </c>
      <c r="L26" s="38">
        <f>F26*K26</f>
        <v>0</v>
      </c>
      <c r="M26" s="39" t="s">
        <v>53</v>
      </c>
      <c r="P26" s="38">
        <f>IF(AG26="5",J26,0)</f>
        <v>0</v>
      </c>
      <c r="R26" s="38">
        <f>IF(AG26="1",H26,0)</f>
        <v>0</v>
      </c>
      <c r="S26" s="38">
        <f>IF(AG26="1",I26,0)</f>
        <v>0</v>
      </c>
      <c r="T26" s="38">
        <f>IF(AG26="7",H26,0)</f>
        <v>0</v>
      </c>
      <c r="U26" s="38">
        <f>IF(AG26="7",I26,0)</f>
        <v>0</v>
      </c>
      <c r="V26" s="38">
        <f>IF(AG26="2",H26,0)</f>
        <v>0</v>
      </c>
      <c r="W26" s="38">
        <f>IF(AG26="2",I26,0)</f>
        <v>0</v>
      </c>
      <c r="X26" s="38">
        <f>IF(AG26="0",J26,0)</f>
        <v>0</v>
      </c>
      <c r="Y26" s="32"/>
      <c r="Z26" s="38">
        <f>IF(AD26=0,J26,0)</f>
        <v>0</v>
      </c>
      <c r="AA26" s="38">
        <f>IF(AD26=15,J26,0)</f>
        <v>0</v>
      </c>
      <c r="AB26" s="38">
        <f>IF(AD26=21,J26,0)</f>
        <v>0</v>
      </c>
      <c r="AD26" s="38">
        <v>15</v>
      </c>
      <c r="AE26" s="38">
        <f>G26*0</f>
        <v>0</v>
      </c>
      <c r="AF26" s="38">
        <f>G26*(1-0)</f>
        <v>0</v>
      </c>
      <c r="AG26" s="39" t="s">
        <v>49</v>
      </c>
      <c r="AM26" s="38">
        <f>F26*AE26</f>
        <v>0</v>
      </c>
      <c r="AN26" s="38">
        <f>F26*AF26</f>
        <v>0</v>
      </c>
      <c r="AO26" s="39" t="s">
        <v>82</v>
      </c>
      <c r="AP26" s="39" t="s">
        <v>67</v>
      </c>
      <c r="AQ26" s="32" t="s">
        <v>55</v>
      </c>
      <c r="AS26" s="38">
        <f>AM26+AN26</f>
        <v>0</v>
      </c>
      <c r="AT26" s="38">
        <f>G26/(100-AU26)*100</f>
        <v>0</v>
      </c>
      <c r="AU26" s="38">
        <v>0</v>
      </c>
      <c r="AV26" s="38">
        <f>L26</f>
        <v>0</v>
      </c>
    </row>
    <row r="27" spans="4:6" ht="12.75">
      <c r="D27" s="40" t="s">
        <v>83</v>
      </c>
      <c r="F27" s="41">
        <v>86</v>
      </c>
    </row>
    <row r="28" spans="1:48" ht="12.75">
      <c r="A28" s="11" t="s">
        <v>84</v>
      </c>
      <c r="B28" s="11"/>
      <c r="C28" s="11" t="s">
        <v>85</v>
      </c>
      <c r="D28" s="11" t="s">
        <v>86</v>
      </c>
      <c r="E28" s="11" t="s">
        <v>81</v>
      </c>
      <c r="F28" s="38">
        <v>86</v>
      </c>
      <c r="G28" s="38">
        <v>0</v>
      </c>
      <c r="H28" s="38">
        <f>F28*AE28</f>
        <v>0</v>
      </c>
      <c r="I28" s="38">
        <f>J28-H28</f>
        <v>0</v>
      </c>
      <c r="J28" s="38">
        <f>F28*G28</f>
        <v>0</v>
      </c>
      <c r="K28" s="38">
        <v>0</v>
      </c>
      <c r="L28" s="38">
        <f>F28*K28</f>
        <v>0</v>
      </c>
      <c r="M28" s="39" t="s">
        <v>53</v>
      </c>
      <c r="P28" s="38">
        <f>IF(AG28="5",J28,0)</f>
        <v>0</v>
      </c>
      <c r="R28" s="38">
        <f>IF(AG28="1",H28,0)</f>
        <v>0</v>
      </c>
      <c r="S28" s="38">
        <f>IF(AG28="1",I28,0)</f>
        <v>0</v>
      </c>
      <c r="T28" s="38">
        <f>IF(AG28="7",H28,0)</f>
        <v>0</v>
      </c>
      <c r="U28" s="38">
        <f>IF(AG28="7",I28,0)</f>
        <v>0</v>
      </c>
      <c r="V28" s="38">
        <f>IF(AG28="2",H28,0)</f>
        <v>0</v>
      </c>
      <c r="W28" s="38">
        <f>IF(AG28="2",I28,0)</f>
        <v>0</v>
      </c>
      <c r="X28" s="38">
        <f>IF(AG28="0",J28,0)</f>
        <v>0</v>
      </c>
      <c r="Y28" s="32"/>
      <c r="Z28" s="38">
        <f>IF(AD28=0,J28,0)</f>
        <v>0</v>
      </c>
      <c r="AA28" s="38">
        <f>IF(AD28=15,J28,0)</f>
        <v>0</v>
      </c>
      <c r="AB28" s="38">
        <f>IF(AD28=21,J28,0)</f>
        <v>0</v>
      </c>
      <c r="AD28" s="38">
        <v>15</v>
      </c>
      <c r="AE28" s="38">
        <f>G28*0.0240168539325843</f>
        <v>0</v>
      </c>
      <c r="AF28" s="38">
        <f>G28*(1-0.0240168539325843)</f>
        <v>0</v>
      </c>
      <c r="AG28" s="39" t="s">
        <v>49</v>
      </c>
      <c r="AM28" s="38">
        <f>F28*AE28</f>
        <v>0</v>
      </c>
      <c r="AN28" s="38">
        <f>F28*AF28</f>
        <v>0</v>
      </c>
      <c r="AO28" s="39" t="s">
        <v>82</v>
      </c>
      <c r="AP28" s="39" t="s">
        <v>67</v>
      </c>
      <c r="AQ28" s="32" t="s">
        <v>55</v>
      </c>
      <c r="AS28" s="38">
        <f>AM28+AN28</f>
        <v>0</v>
      </c>
      <c r="AT28" s="38">
        <f>G28/(100-AU28)*100</f>
        <v>0</v>
      </c>
      <c r="AU28" s="38">
        <v>0</v>
      </c>
      <c r="AV28" s="38">
        <f>L28</f>
        <v>0</v>
      </c>
    </row>
    <row r="29" spans="4:6" ht="12.75">
      <c r="D29" s="40" t="s">
        <v>87</v>
      </c>
      <c r="F29" s="41">
        <v>86</v>
      </c>
    </row>
    <row r="30" spans="1:37" ht="12.75">
      <c r="A30" s="42"/>
      <c r="B30" s="43"/>
      <c r="C30" s="43" t="s">
        <v>88</v>
      </c>
      <c r="D30" s="43" t="s">
        <v>89</v>
      </c>
      <c r="E30" s="42" t="s">
        <v>4</v>
      </c>
      <c r="F30" s="42" t="s">
        <v>4</v>
      </c>
      <c r="G30" s="42" t="s">
        <v>4</v>
      </c>
      <c r="H30" s="37">
        <f>SUM(H31:H33)</f>
        <v>0</v>
      </c>
      <c r="I30" s="37">
        <f>SUM(I31:I33)</f>
        <v>0</v>
      </c>
      <c r="J30" s="37">
        <f>H30+I30</f>
        <v>0</v>
      </c>
      <c r="K30" s="32"/>
      <c r="L30" s="37">
        <f>SUM(L31:L33)</f>
        <v>1.449962</v>
      </c>
      <c r="M30" s="32"/>
      <c r="Y30" s="32"/>
      <c r="AI30" s="37">
        <f>SUM(Z31:Z33)</f>
        <v>0</v>
      </c>
      <c r="AJ30" s="37">
        <f>SUM(AA31:AA33)</f>
        <v>0</v>
      </c>
      <c r="AK30" s="37">
        <f>SUM(AB31:AB33)</f>
        <v>0</v>
      </c>
    </row>
    <row r="31" spans="1:48" ht="12.75">
      <c r="A31" s="11" t="s">
        <v>90</v>
      </c>
      <c r="B31" s="11"/>
      <c r="C31" s="11" t="s">
        <v>91</v>
      </c>
      <c r="D31" s="11" t="s">
        <v>92</v>
      </c>
      <c r="E31" s="11" t="s">
        <v>65</v>
      </c>
      <c r="F31" s="38">
        <v>0.24</v>
      </c>
      <c r="G31" s="38">
        <v>0</v>
      </c>
      <c r="H31" s="38">
        <f>F31*AE31</f>
        <v>0</v>
      </c>
      <c r="I31" s="38">
        <f>J31-H31</f>
        <v>0</v>
      </c>
      <c r="J31" s="38">
        <f>F31*G31</f>
        <v>0</v>
      </c>
      <c r="K31" s="38">
        <v>0.4618</v>
      </c>
      <c r="L31" s="38">
        <f>F31*K31</f>
        <v>0.110832</v>
      </c>
      <c r="M31" s="39" t="s">
        <v>53</v>
      </c>
      <c r="P31" s="38">
        <f>IF(AG31="5",J31,0)</f>
        <v>0</v>
      </c>
      <c r="R31" s="38">
        <f>IF(AG31="1",H31,0)</f>
        <v>0</v>
      </c>
      <c r="S31" s="38">
        <f>IF(AG31="1",I31,0)</f>
        <v>0</v>
      </c>
      <c r="T31" s="38">
        <f>IF(AG31="7",H31,0)</f>
        <v>0</v>
      </c>
      <c r="U31" s="38">
        <f>IF(AG31="7",I31,0)</f>
        <v>0</v>
      </c>
      <c r="V31" s="38">
        <f>IF(AG31="2",H31,0)</f>
        <v>0</v>
      </c>
      <c r="W31" s="38">
        <f>IF(AG31="2",I31,0)</f>
        <v>0</v>
      </c>
      <c r="X31" s="38">
        <f>IF(AG31="0",J31,0)</f>
        <v>0</v>
      </c>
      <c r="Y31" s="32"/>
      <c r="Z31" s="38">
        <f>IF(AD31=0,J31,0)</f>
        <v>0</v>
      </c>
      <c r="AA31" s="38">
        <f>IF(AD31=15,J31,0)</f>
        <v>0</v>
      </c>
      <c r="AB31" s="38">
        <f>IF(AD31=21,J31,0)</f>
        <v>0</v>
      </c>
      <c r="AD31" s="38">
        <v>15</v>
      </c>
      <c r="AE31" s="38">
        <f>G31*0.55101953125</f>
        <v>0</v>
      </c>
      <c r="AF31" s="38">
        <f>G31*(1-0.55101953125)</f>
        <v>0</v>
      </c>
      <c r="AG31" s="39" t="s">
        <v>49</v>
      </c>
      <c r="AM31" s="38">
        <f>F31*AE31</f>
        <v>0</v>
      </c>
      <c r="AN31" s="38">
        <f>F31*AF31</f>
        <v>0</v>
      </c>
      <c r="AO31" s="39" t="s">
        <v>93</v>
      </c>
      <c r="AP31" s="39" t="s">
        <v>94</v>
      </c>
      <c r="AQ31" s="32" t="s">
        <v>55</v>
      </c>
      <c r="AS31" s="38">
        <f>AM31+AN31</f>
        <v>0</v>
      </c>
      <c r="AT31" s="38">
        <f>G31/(100-AU31)*100</f>
        <v>0</v>
      </c>
      <c r="AU31" s="38">
        <v>0</v>
      </c>
      <c r="AV31" s="38">
        <f>L31</f>
        <v>0.110832</v>
      </c>
    </row>
    <row r="32" spans="4:6" ht="12.75">
      <c r="D32" s="40" t="s">
        <v>95</v>
      </c>
      <c r="F32" s="41">
        <v>0.24</v>
      </c>
    </row>
    <row r="33" spans="1:48" ht="12.75">
      <c r="A33" s="11" t="s">
        <v>96</v>
      </c>
      <c r="B33" s="11"/>
      <c r="C33" s="11" t="s">
        <v>97</v>
      </c>
      <c r="D33" s="11" t="s">
        <v>98</v>
      </c>
      <c r="E33" s="11" t="s">
        <v>99</v>
      </c>
      <c r="F33" s="38">
        <v>1</v>
      </c>
      <c r="G33" s="38">
        <v>0</v>
      </c>
      <c r="H33" s="38">
        <f>F33*AE33</f>
        <v>0</v>
      </c>
      <c r="I33" s="38">
        <f>J33-H33</f>
        <v>0</v>
      </c>
      <c r="J33" s="38">
        <f>F33*G33</f>
        <v>0</v>
      </c>
      <c r="K33" s="38">
        <v>1.33913</v>
      </c>
      <c r="L33" s="38">
        <f>F33*K33</f>
        <v>1.33913</v>
      </c>
      <c r="M33" s="39" t="s">
        <v>53</v>
      </c>
      <c r="P33" s="38">
        <f>IF(AG33="5",J33,0)</f>
        <v>0</v>
      </c>
      <c r="R33" s="38">
        <f>IF(AG33="1",H33,0)</f>
        <v>0</v>
      </c>
      <c r="S33" s="38">
        <f>IF(AG33="1",I33,0)</f>
        <v>0</v>
      </c>
      <c r="T33" s="38">
        <f>IF(AG33="7",H33,0)</f>
        <v>0</v>
      </c>
      <c r="U33" s="38">
        <f>IF(AG33="7",I33,0)</f>
        <v>0</v>
      </c>
      <c r="V33" s="38">
        <f>IF(AG33="2",H33,0)</f>
        <v>0</v>
      </c>
      <c r="W33" s="38">
        <f>IF(AG33="2",I33,0)</f>
        <v>0</v>
      </c>
      <c r="X33" s="38">
        <f>IF(AG33="0",J33,0)</f>
        <v>0</v>
      </c>
      <c r="Y33" s="32"/>
      <c r="Z33" s="38">
        <f>IF(AD33=0,J33,0)</f>
        <v>0</v>
      </c>
      <c r="AA33" s="38">
        <f>IF(AD33=15,J33,0)</f>
        <v>0</v>
      </c>
      <c r="AB33" s="38">
        <f>IF(AD33=21,J33,0)</f>
        <v>0</v>
      </c>
      <c r="AD33" s="38">
        <v>15</v>
      </c>
      <c r="AE33" s="38">
        <f>G33*0.228915662650602</f>
        <v>0</v>
      </c>
      <c r="AF33" s="38">
        <f>G33*(1-0.228915662650602)</f>
        <v>0</v>
      </c>
      <c r="AG33" s="39" t="s">
        <v>49</v>
      </c>
      <c r="AM33" s="38">
        <f>F33*AE33</f>
        <v>0</v>
      </c>
      <c r="AN33" s="38">
        <f>F33*AF33</f>
        <v>0</v>
      </c>
      <c r="AO33" s="39" t="s">
        <v>93</v>
      </c>
      <c r="AP33" s="39" t="s">
        <v>94</v>
      </c>
      <c r="AQ33" s="32" t="s">
        <v>55</v>
      </c>
      <c r="AS33" s="38">
        <f>AM33+AN33</f>
        <v>0</v>
      </c>
      <c r="AT33" s="38">
        <f>G33/(100-AU33)*100</f>
        <v>0</v>
      </c>
      <c r="AU33" s="38">
        <v>0</v>
      </c>
      <c r="AV33" s="38">
        <f>L33</f>
        <v>1.33913</v>
      </c>
    </row>
    <row r="34" spans="4:6" ht="12.75">
      <c r="D34" s="40" t="s">
        <v>100</v>
      </c>
      <c r="F34" s="41">
        <v>1</v>
      </c>
    </row>
    <row r="35" spans="1:37" ht="12.75">
      <c r="A35" s="42"/>
      <c r="B35" s="43"/>
      <c r="C35" s="43" t="s">
        <v>101</v>
      </c>
      <c r="D35" s="43" t="s">
        <v>102</v>
      </c>
      <c r="E35" s="42" t="s">
        <v>4</v>
      </c>
      <c r="F35" s="42" t="s">
        <v>4</v>
      </c>
      <c r="G35" s="42" t="s">
        <v>4</v>
      </c>
      <c r="H35" s="37">
        <f>SUM(H36:H36)</f>
        <v>0</v>
      </c>
      <c r="I35" s="37">
        <f>SUM(I36:I36)</f>
        <v>0</v>
      </c>
      <c r="J35" s="37">
        <f>H35+I35</f>
        <v>0</v>
      </c>
      <c r="K35" s="32"/>
      <c r="L35" s="37">
        <f>SUM(L36:L36)</f>
        <v>7.0729848</v>
      </c>
      <c r="M35" s="32"/>
      <c r="Y35" s="32"/>
      <c r="AI35" s="37">
        <f>SUM(Z36:Z36)</f>
        <v>0</v>
      </c>
      <c r="AJ35" s="37">
        <f>SUM(AA36:AA36)</f>
        <v>0</v>
      </c>
      <c r="AK35" s="37">
        <f>SUM(AB36:AB36)</f>
        <v>0</v>
      </c>
    </row>
    <row r="36" spans="1:48" ht="12.75">
      <c r="A36" s="11" t="s">
        <v>103</v>
      </c>
      <c r="B36" s="11"/>
      <c r="C36" s="11" t="s">
        <v>104</v>
      </c>
      <c r="D36" s="11" t="s">
        <v>105</v>
      </c>
      <c r="E36" s="11" t="s">
        <v>81</v>
      </c>
      <c r="F36" s="38">
        <v>39.06</v>
      </c>
      <c r="G36" s="38">
        <v>0</v>
      </c>
      <c r="H36" s="38">
        <f>F36*AE36</f>
        <v>0</v>
      </c>
      <c r="I36" s="38">
        <f>J36-H36</f>
        <v>0</v>
      </c>
      <c r="J36" s="38">
        <f>F36*G36</f>
        <v>0</v>
      </c>
      <c r="K36" s="38">
        <v>0.18108</v>
      </c>
      <c r="L36" s="38">
        <f>F36*K36</f>
        <v>7.0729848</v>
      </c>
      <c r="M36" s="39" t="s">
        <v>53</v>
      </c>
      <c r="P36" s="38">
        <f>IF(AG36="5",J36,0)</f>
        <v>0</v>
      </c>
      <c r="R36" s="38">
        <f>IF(AG36="1",H36,0)</f>
        <v>0</v>
      </c>
      <c r="S36" s="38">
        <f>IF(AG36="1",I36,0)</f>
        <v>0</v>
      </c>
      <c r="T36" s="38">
        <f>IF(AG36="7",H36,0)</f>
        <v>0</v>
      </c>
      <c r="U36" s="38">
        <f>IF(AG36="7",I36,0)</f>
        <v>0</v>
      </c>
      <c r="V36" s="38">
        <f>IF(AG36="2",H36,0)</f>
        <v>0</v>
      </c>
      <c r="W36" s="38">
        <f>IF(AG36="2",I36,0)</f>
        <v>0</v>
      </c>
      <c r="X36" s="38">
        <f>IF(AG36="0",J36,0)</f>
        <v>0</v>
      </c>
      <c r="Y36" s="32"/>
      <c r="Z36" s="38">
        <f>IF(AD36=0,J36,0)</f>
        <v>0</v>
      </c>
      <c r="AA36" s="38">
        <f>IF(AD36=15,J36,0)</f>
        <v>0</v>
      </c>
      <c r="AB36" s="38">
        <f>IF(AD36=21,J36,0)</f>
        <v>0</v>
      </c>
      <c r="AD36" s="38">
        <v>15</v>
      </c>
      <c r="AE36" s="38">
        <f>G36*0.731861471861472</f>
        <v>0</v>
      </c>
      <c r="AF36" s="38">
        <f>G36*(1-0.731861471861472)</f>
        <v>0</v>
      </c>
      <c r="AG36" s="39" t="s">
        <v>49</v>
      </c>
      <c r="AM36" s="38">
        <f>F36*AE36</f>
        <v>0</v>
      </c>
      <c r="AN36" s="38">
        <f>F36*AF36</f>
        <v>0</v>
      </c>
      <c r="AO36" s="39" t="s">
        <v>106</v>
      </c>
      <c r="AP36" s="39" t="s">
        <v>107</v>
      </c>
      <c r="AQ36" s="32" t="s">
        <v>55</v>
      </c>
      <c r="AS36" s="38">
        <f>AM36+AN36</f>
        <v>0</v>
      </c>
      <c r="AT36" s="38">
        <f>G36/(100-AU36)*100</f>
        <v>0</v>
      </c>
      <c r="AU36" s="38">
        <v>0</v>
      </c>
      <c r="AV36" s="38">
        <f>L36</f>
        <v>7.0729848</v>
      </c>
    </row>
    <row r="37" spans="4:6" ht="12.75">
      <c r="D37" s="40" t="s">
        <v>108</v>
      </c>
      <c r="F37" s="41">
        <v>39.06</v>
      </c>
    </row>
    <row r="38" spans="1:37" ht="12.75">
      <c r="A38" s="42"/>
      <c r="B38" s="43"/>
      <c r="C38" s="43" t="s">
        <v>109</v>
      </c>
      <c r="D38" s="43" t="s">
        <v>110</v>
      </c>
      <c r="E38" s="42" t="s">
        <v>4</v>
      </c>
      <c r="F38" s="42" t="s">
        <v>4</v>
      </c>
      <c r="G38" s="42" t="s">
        <v>4</v>
      </c>
      <c r="H38" s="37">
        <f>SUM(H39:H39)</f>
        <v>0</v>
      </c>
      <c r="I38" s="37">
        <f>SUM(I39:I39)</f>
        <v>0</v>
      </c>
      <c r="J38" s="37">
        <f>H38+I38</f>
        <v>0</v>
      </c>
      <c r="K38" s="32"/>
      <c r="L38" s="37">
        <f>SUM(L39:L39)</f>
        <v>0.077112</v>
      </c>
      <c r="M38" s="32"/>
      <c r="Y38" s="32"/>
      <c r="AI38" s="37">
        <f>SUM(Z39:Z39)</f>
        <v>0</v>
      </c>
      <c r="AJ38" s="37">
        <f>SUM(AA39:AA39)</f>
        <v>0</v>
      </c>
      <c r="AK38" s="37">
        <f>SUM(AB39:AB39)</f>
        <v>0</v>
      </c>
    </row>
    <row r="39" spans="1:48" ht="12.75">
      <c r="A39" s="11" t="s">
        <v>111</v>
      </c>
      <c r="B39" s="11"/>
      <c r="C39" s="11" t="s">
        <v>112</v>
      </c>
      <c r="D39" s="11" t="s">
        <v>113</v>
      </c>
      <c r="E39" s="11" t="s">
        <v>114</v>
      </c>
      <c r="F39" s="38">
        <v>32.4</v>
      </c>
      <c r="G39" s="38">
        <v>0</v>
      </c>
      <c r="H39" s="38">
        <f>F39*AE39</f>
        <v>0</v>
      </c>
      <c r="I39" s="38">
        <f>J39-H39</f>
        <v>0</v>
      </c>
      <c r="J39" s="38">
        <f>F39*G39</f>
        <v>0</v>
      </c>
      <c r="K39" s="38">
        <v>0.00238</v>
      </c>
      <c r="L39" s="38">
        <f>F39*K39</f>
        <v>0.077112</v>
      </c>
      <c r="M39" s="39" t="s">
        <v>53</v>
      </c>
      <c r="P39" s="38">
        <f>IF(AG39="5",J39,0)</f>
        <v>0</v>
      </c>
      <c r="R39" s="38">
        <f>IF(AG39="1",H39,0)</f>
        <v>0</v>
      </c>
      <c r="S39" s="38">
        <f>IF(AG39="1",I39,0)</f>
        <v>0</v>
      </c>
      <c r="T39" s="38">
        <f>IF(AG39="7",H39,0)</f>
        <v>0</v>
      </c>
      <c r="U39" s="38">
        <f>IF(AG39="7",I39,0)</f>
        <v>0</v>
      </c>
      <c r="V39" s="38">
        <f>IF(AG39="2",H39,0)</f>
        <v>0</v>
      </c>
      <c r="W39" s="38">
        <f>IF(AG39="2",I39,0)</f>
        <v>0</v>
      </c>
      <c r="X39" s="38">
        <f>IF(AG39="0",J39,0)</f>
        <v>0</v>
      </c>
      <c r="Y39" s="32"/>
      <c r="Z39" s="38">
        <f>IF(AD39=0,J39,0)</f>
        <v>0</v>
      </c>
      <c r="AA39" s="38">
        <f>IF(AD39=15,J39,0)</f>
        <v>0</v>
      </c>
      <c r="AB39" s="38">
        <f>IF(AD39=21,J39,0)</f>
        <v>0</v>
      </c>
      <c r="AD39" s="38">
        <v>15</v>
      </c>
      <c r="AE39" s="38">
        <f>G39*0.1002849002849</f>
        <v>0</v>
      </c>
      <c r="AF39" s="38">
        <f>G39*(1-0.1002849002849)</f>
        <v>0</v>
      </c>
      <c r="AG39" s="39" t="s">
        <v>49</v>
      </c>
      <c r="AM39" s="38">
        <f>F39*AE39</f>
        <v>0</v>
      </c>
      <c r="AN39" s="38">
        <f>F39*AF39</f>
        <v>0</v>
      </c>
      <c r="AO39" s="39" t="s">
        <v>115</v>
      </c>
      <c r="AP39" s="39" t="s">
        <v>116</v>
      </c>
      <c r="AQ39" s="32" t="s">
        <v>55</v>
      </c>
      <c r="AS39" s="38">
        <f>AM39+AN39</f>
        <v>0</v>
      </c>
      <c r="AT39" s="38">
        <f>G39/(100-AU39)*100</f>
        <v>0</v>
      </c>
      <c r="AU39" s="38">
        <v>0</v>
      </c>
      <c r="AV39" s="38">
        <f>L39</f>
        <v>0.077112</v>
      </c>
    </row>
    <row r="40" spans="4:6" ht="12.75">
      <c r="D40" s="40" t="s">
        <v>117</v>
      </c>
      <c r="F40" s="41">
        <v>32.4</v>
      </c>
    </row>
    <row r="41" spans="1:37" ht="12.75">
      <c r="A41" s="42"/>
      <c r="B41" s="43"/>
      <c r="C41" s="43" t="s">
        <v>118</v>
      </c>
      <c r="D41" s="43" t="s">
        <v>119</v>
      </c>
      <c r="E41" s="42" t="s">
        <v>4</v>
      </c>
      <c r="F41" s="42" t="s">
        <v>4</v>
      </c>
      <c r="G41" s="42" t="s">
        <v>4</v>
      </c>
      <c r="H41" s="37">
        <f>SUM(H42:H107)</f>
        <v>0</v>
      </c>
      <c r="I41" s="37">
        <f>SUM(I42:I107)</f>
        <v>0</v>
      </c>
      <c r="J41" s="37">
        <f>H41+I41</f>
        <v>0</v>
      </c>
      <c r="K41" s="32"/>
      <c r="L41" s="37">
        <f>SUM(L42:L107)</f>
        <v>26.121571087</v>
      </c>
      <c r="M41" s="32"/>
      <c r="Y41" s="32"/>
      <c r="AI41" s="37">
        <f>SUM(Z42:Z107)</f>
        <v>0</v>
      </c>
      <c r="AJ41" s="37">
        <f>SUM(AA42:AA107)</f>
        <v>0</v>
      </c>
      <c r="AK41" s="37">
        <f>SUM(AB42:AB107)</f>
        <v>0</v>
      </c>
    </row>
    <row r="42" spans="1:48" ht="12.75">
      <c r="A42" s="11" t="s">
        <v>60</v>
      </c>
      <c r="B42" s="11"/>
      <c r="C42" s="11" t="s">
        <v>120</v>
      </c>
      <c r="D42" s="11" t="s">
        <v>121</v>
      </c>
      <c r="E42" s="11" t="s">
        <v>81</v>
      </c>
      <c r="F42" s="38">
        <v>60.42</v>
      </c>
      <c r="G42" s="38">
        <v>0</v>
      </c>
      <c r="H42" s="38">
        <f>F42*AE42</f>
        <v>0</v>
      </c>
      <c r="I42" s="38">
        <f>J42-H42</f>
        <v>0</v>
      </c>
      <c r="J42" s="38">
        <f>F42*G42</f>
        <v>0</v>
      </c>
      <c r="K42" s="38">
        <v>0.01328</v>
      </c>
      <c r="L42" s="38">
        <f>F42*K42</f>
        <v>0.8023776</v>
      </c>
      <c r="M42" s="39" t="s">
        <v>53</v>
      </c>
      <c r="P42" s="38">
        <f>IF(AG42="5",J42,0)</f>
        <v>0</v>
      </c>
      <c r="R42" s="38">
        <f>IF(AG42="1",H42,0)</f>
        <v>0</v>
      </c>
      <c r="S42" s="38">
        <f>IF(AG42="1",I42,0)</f>
        <v>0</v>
      </c>
      <c r="T42" s="38">
        <f>IF(AG42="7",H42,0)</f>
        <v>0</v>
      </c>
      <c r="U42" s="38">
        <f>IF(AG42="7",I42,0)</f>
        <v>0</v>
      </c>
      <c r="V42" s="38">
        <f>IF(AG42="2",H42,0)</f>
        <v>0</v>
      </c>
      <c r="W42" s="38">
        <f>IF(AG42="2",I42,0)</f>
        <v>0</v>
      </c>
      <c r="X42" s="38">
        <f>IF(AG42="0",J42,0)</f>
        <v>0</v>
      </c>
      <c r="Y42" s="32"/>
      <c r="Z42" s="38">
        <f>IF(AD42=0,J42,0)</f>
        <v>0</v>
      </c>
      <c r="AA42" s="38">
        <f>IF(AD42=15,J42,0)</f>
        <v>0</v>
      </c>
      <c r="AB42" s="38">
        <f>IF(AD42=21,J42,0)</f>
        <v>0</v>
      </c>
      <c r="AD42" s="38">
        <v>15</v>
      </c>
      <c r="AE42" s="38">
        <f>G42*0.354477200081927</f>
        <v>0</v>
      </c>
      <c r="AF42" s="38">
        <f>G42*(1-0.354477200081927)</f>
        <v>0</v>
      </c>
      <c r="AG42" s="39" t="s">
        <v>49</v>
      </c>
      <c r="AM42" s="38">
        <f>F42*AE42</f>
        <v>0</v>
      </c>
      <c r="AN42" s="38">
        <f>F42*AF42</f>
        <v>0</v>
      </c>
      <c r="AO42" s="39" t="s">
        <v>122</v>
      </c>
      <c r="AP42" s="39" t="s">
        <v>116</v>
      </c>
      <c r="AQ42" s="32" t="s">
        <v>55</v>
      </c>
      <c r="AS42" s="38">
        <f>AM42+AN42</f>
        <v>0</v>
      </c>
      <c r="AT42" s="38">
        <f>G42/(100-AU42)*100</f>
        <v>0</v>
      </c>
      <c r="AU42" s="38">
        <v>0</v>
      </c>
      <c r="AV42" s="38">
        <f>L42</f>
        <v>0.8023776</v>
      </c>
    </row>
    <row r="43" spans="4:6" ht="12.75">
      <c r="D43" s="40" t="s">
        <v>123</v>
      </c>
      <c r="F43" s="41">
        <v>7.38</v>
      </c>
    </row>
    <row r="44" spans="4:6" ht="12.75">
      <c r="D44" s="40" t="s">
        <v>124</v>
      </c>
      <c r="F44" s="41">
        <v>4.68</v>
      </c>
    </row>
    <row r="45" spans="4:6" ht="12.75">
      <c r="D45" s="40" t="s">
        <v>125</v>
      </c>
      <c r="F45" s="41">
        <v>9.75</v>
      </c>
    </row>
    <row r="46" spans="4:6" ht="12.75">
      <c r="D46" s="40" t="s">
        <v>126</v>
      </c>
      <c r="F46" s="41">
        <v>0.75</v>
      </c>
    </row>
    <row r="47" spans="4:6" ht="12.75">
      <c r="D47" s="40" t="s">
        <v>127</v>
      </c>
      <c r="F47" s="41">
        <v>37.86</v>
      </c>
    </row>
    <row r="48" spans="1:48" ht="12.75">
      <c r="A48" s="11" t="s">
        <v>128</v>
      </c>
      <c r="B48" s="11"/>
      <c r="C48" s="11" t="s">
        <v>129</v>
      </c>
      <c r="D48" s="11" t="s">
        <v>130</v>
      </c>
      <c r="E48" s="11" t="s">
        <v>81</v>
      </c>
      <c r="F48" s="38">
        <v>46.29</v>
      </c>
      <c r="G48" s="38">
        <v>0</v>
      </c>
      <c r="H48" s="38">
        <f>F48*AE48</f>
        <v>0</v>
      </c>
      <c r="I48" s="38">
        <f>J48-H48</f>
        <v>0</v>
      </c>
      <c r="J48" s="38">
        <f>F48*G48</f>
        <v>0</v>
      </c>
      <c r="K48" s="38">
        <v>0.01328</v>
      </c>
      <c r="L48" s="38">
        <f>F48*K48</f>
        <v>0.6147312</v>
      </c>
      <c r="M48" s="39" t="s">
        <v>53</v>
      </c>
      <c r="P48" s="38">
        <f>IF(AG48="5",J48,0)</f>
        <v>0</v>
      </c>
      <c r="R48" s="38">
        <f>IF(AG48="1",H48,0)</f>
        <v>0</v>
      </c>
      <c r="S48" s="38">
        <f>IF(AG48="1",I48,0)</f>
        <v>0</v>
      </c>
      <c r="T48" s="38">
        <f>IF(AG48="7",H48,0)</f>
        <v>0</v>
      </c>
      <c r="U48" s="38">
        <f>IF(AG48="7",I48,0)</f>
        <v>0</v>
      </c>
      <c r="V48" s="38">
        <f>IF(AG48="2",H48,0)</f>
        <v>0</v>
      </c>
      <c r="W48" s="38">
        <f>IF(AG48="2",I48,0)</f>
        <v>0</v>
      </c>
      <c r="X48" s="38">
        <f>IF(AG48="0",J48,0)</f>
        <v>0</v>
      </c>
      <c r="Y48" s="32"/>
      <c r="Z48" s="38">
        <f>IF(AD48=0,J48,0)</f>
        <v>0</v>
      </c>
      <c r="AA48" s="38">
        <f>IF(AD48=15,J48,0)</f>
        <v>0</v>
      </c>
      <c r="AB48" s="38">
        <f>IF(AD48=21,J48,0)</f>
        <v>0</v>
      </c>
      <c r="AD48" s="38">
        <v>15</v>
      </c>
      <c r="AE48" s="38">
        <f>G48*0.35447720160284</f>
        <v>0</v>
      </c>
      <c r="AF48" s="38">
        <f>G48*(1-0.35447720160284)</f>
        <v>0</v>
      </c>
      <c r="AG48" s="39" t="s">
        <v>49</v>
      </c>
      <c r="AM48" s="38">
        <f>F48*AE48</f>
        <v>0</v>
      </c>
      <c r="AN48" s="38">
        <f>F48*AF48</f>
        <v>0</v>
      </c>
      <c r="AO48" s="39" t="s">
        <v>122</v>
      </c>
      <c r="AP48" s="39" t="s">
        <v>116</v>
      </c>
      <c r="AQ48" s="32" t="s">
        <v>55</v>
      </c>
      <c r="AS48" s="38">
        <f>AM48+AN48</f>
        <v>0</v>
      </c>
      <c r="AT48" s="38">
        <f>G48/(100-AU48)*100</f>
        <v>0</v>
      </c>
      <c r="AU48" s="38">
        <v>0</v>
      </c>
      <c r="AV48" s="38">
        <f>L48</f>
        <v>0.6147312</v>
      </c>
    </row>
    <row r="49" spans="4:6" ht="12.75">
      <c r="D49" s="40" t="s">
        <v>131</v>
      </c>
      <c r="F49" s="41">
        <v>10.62</v>
      </c>
    </row>
    <row r="50" spans="4:6" ht="12.75">
      <c r="D50" s="40" t="s">
        <v>132</v>
      </c>
      <c r="F50" s="41">
        <v>10.62</v>
      </c>
    </row>
    <row r="51" spans="4:6" ht="12.75">
      <c r="D51" s="40" t="s">
        <v>133</v>
      </c>
      <c r="F51" s="41">
        <v>2.49</v>
      </c>
    </row>
    <row r="52" spans="4:6" ht="12.75">
      <c r="D52" s="40" t="s">
        <v>134</v>
      </c>
      <c r="F52" s="41">
        <v>4.23</v>
      </c>
    </row>
    <row r="53" spans="4:6" ht="12.75">
      <c r="D53" s="40" t="s">
        <v>135</v>
      </c>
      <c r="F53" s="41">
        <v>18.33</v>
      </c>
    </row>
    <row r="54" spans="1:48" ht="12.75">
      <c r="A54" s="11" t="s">
        <v>136</v>
      </c>
      <c r="B54" s="11"/>
      <c r="C54" s="11" t="s">
        <v>137</v>
      </c>
      <c r="D54" s="11" t="s">
        <v>138</v>
      </c>
      <c r="E54" s="11" t="s">
        <v>81</v>
      </c>
      <c r="F54" s="38">
        <v>114.596</v>
      </c>
      <c r="G54" s="38">
        <v>0</v>
      </c>
      <c r="H54" s="38">
        <f>F54*AE54</f>
        <v>0</v>
      </c>
      <c r="I54" s="38">
        <f>J54-H54</f>
        <v>0</v>
      </c>
      <c r="J54" s="38">
        <f>F54*G54</f>
        <v>0</v>
      </c>
      <c r="K54" s="38">
        <v>4E-05</v>
      </c>
      <c r="L54" s="38">
        <f>F54*K54</f>
        <v>0.0045838400000000005</v>
      </c>
      <c r="M54" s="39" t="s">
        <v>53</v>
      </c>
      <c r="P54" s="38">
        <f>IF(AG54="5",J54,0)</f>
        <v>0</v>
      </c>
      <c r="R54" s="38">
        <f>IF(AG54="1",H54,0)</f>
        <v>0</v>
      </c>
      <c r="S54" s="38">
        <f>IF(AG54="1",I54,0)</f>
        <v>0</v>
      </c>
      <c r="T54" s="38">
        <f>IF(AG54="7",H54,0)</f>
        <v>0</v>
      </c>
      <c r="U54" s="38">
        <f>IF(AG54="7",I54,0)</f>
        <v>0</v>
      </c>
      <c r="V54" s="38">
        <f>IF(AG54="2",H54,0)</f>
        <v>0</v>
      </c>
      <c r="W54" s="38">
        <f>IF(AG54="2",I54,0)</f>
        <v>0</v>
      </c>
      <c r="X54" s="38">
        <f>IF(AG54="0",J54,0)</f>
        <v>0</v>
      </c>
      <c r="Y54" s="32"/>
      <c r="Z54" s="38">
        <f>IF(AD54=0,J54,0)</f>
        <v>0</v>
      </c>
      <c r="AA54" s="38">
        <f>IF(AD54=15,J54,0)</f>
        <v>0</v>
      </c>
      <c r="AB54" s="38">
        <f>IF(AD54=21,J54,0)</f>
        <v>0</v>
      </c>
      <c r="AD54" s="38">
        <v>15</v>
      </c>
      <c r="AE54" s="38">
        <f>G54*0.362200748822786</f>
        <v>0</v>
      </c>
      <c r="AF54" s="38">
        <f>G54*(1-0.362200748822786)</f>
        <v>0</v>
      </c>
      <c r="AG54" s="39" t="s">
        <v>49</v>
      </c>
      <c r="AM54" s="38">
        <f>F54*AE54</f>
        <v>0</v>
      </c>
      <c r="AN54" s="38">
        <f>F54*AF54</f>
        <v>0</v>
      </c>
      <c r="AO54" s="39" t="s">
        <v>122</v>
      </c>
      <c r="AP54" s="39" t="s">
        <v>116</v>
      </c>
      <c r="AQ54" s="32" t="s">
        <v>55</v>
      </c>
      <c r="AS54" s="38">
        <f>AM54+AN54</f>
        <v>0</v>
      </c>
      <c r="AT54" s="38">
        <f>G54/(100-AU54)*100</f>
        <v>0</v>
      </c>
      <c r="AU54" s="38">
        <v>0</v>
      </c>
      <c r="AV54" s="38">
        <f>L54</f>
        <v>0.0045838400000000005</v>
      </c>
    </row>
    <row r="55" spans="4:6" ht="12.75">
      <c r="D55" s="40" t="s">
        <v>139</v>
      </c>
      <c r="F55" s="41">
        <v>36.285</v>
      </c>
    </row>
    <row r="56" spans="4:6" ht="12.75">
      <c r="D56" s="40" t="s">
        <v>140</v>
      </c>
      <c r="F56" s="41">
        <v>23.01</v>
      </c>
    </row>
    <row r="57" spans="4:6" ht="12.75">
      <c r="D57" s="40" t="s">
        <v>141</v>
      </c>
      <c r="F57" s="41">
        <v>38.1875</v>
      </c>
    </row>
    <row r="58" spans="4:6" ht="12.75">
      <c r="D58" s="40" t="s">
        <v>142</v>
      </c>
      <c r="F58" s="41">
        <v>5</v>
      </c>
    </row>
    <row r="59" spans="4:6" ht="12.75">
      <c r="D59" s="40" t="s">
        <v>143</v>
      </c>
      <c r="F59" s="41">
        <v>9.8175</v>
      </c>
    </row>
    <row r="60" spans="4:6" ht="12.75">
      <c r="D60" s="40" t="s">
        <v>144</v>
      </c>
      <c r="F60" s="41">
        <v>2.296</v>
      </c>
    </row>
    <row r="61" spans="1:48" ht="12.75">
      <c r="A61" s="11" t="s">
        <v>145</v>
      </c>
      <c r="B61" s="11"/>
      <c r="C61" s="11" t="s">
        <v>146</v>
      </c>
      <c r="D61" s="11" t="s">
        <v>147</v>
      </c>
      <c r="E61" s="11" t="s">
        <v>114</v>
      </c>
      <c r="F61" s="38">
        <v>255.87</v>
      </c>
      <c r="G61" s="38">
        <v>0</v>
      </c>
      <c r="H61" s="38">
        <f>F61*AE61</f>
        <v>0</v>
      </c>
      <c r="I61" s="38">
        <f>J61-H61</f>
        <v>0</v>
      </c>
      <c r="J61" s="38">
        <f>F61*G61</f>
        <v>0</v>
      </c>
      <c r="K61" s="38">
        <v>0.00015</v>
      </c>
      <c r="L61" s="38">
        <f>F61*K61</f>
        <v>0.0383805</v>
      </c>
      <c r="M61" s="39" t="s">
        <v>53</v>
      </c>
      <c r="P61" s="38">
        <f>IF(AG61="5",J61,0)</f>
        <v>0</v>
      </c>
      <c r="R61" s="38">
        <f>IF(AG61="1",H61,0)</f>
        <v>0</v>
      </c>
      <c r="S61" s="38">
        <f>IF(AG61="1",I61,0)</f>
        <v>0</v>
      </c>
      <c r="T61" s="38">
        <f>IF(AG61="7",H61,0)</f>
        <v>0</v>
      </c>
      <c r="U61" s="38">
        <f>IF(AG61="7",I61,0)</f>
        <v>0</v>
      </c>
      <c r="V61" s="38">
        <f>IF(AG61="2",H61,0)</f>
        <v>0</v>
      </c>
      <c r="W61" s="38">
        <f>IF(AG61="2",I61,0)</f>
        <v>0</v>
      </c>
      <c r="X61" s="38">
        <f>IF(AG61="0",J61,0)</f>
        <v>0</v>
      </c>
      <c r="Y61" s="32"/>
      <c r="Z61" s="38">
        <f>IF(AD61=0,J61,0)</f>
        <v>0</v>
      </c>
      <c r="AA61" s="38">
        <f>IF(AD61=15,J61,0)</f>
        <v>0</v>
      </c>
      <c r="AB61" s="38">
        <f>IF(AD61=21,J61,0)</f>
        <v>0</v>
      </c>
      <c r="AD61" s="38">
        <v>15</v>
      </c>
      <c r="AE61" s="38">
        <f>G61*0.466363636363636</f>
        <v>0</v>
      </c>
      <c r="AF61" s="38">
        <f>G61*(1-0.466363636363636)</f>
        <v>0</v>
      </c>
      <c r="AG61" s="39" t="s">
        <v>49</v>
      </c>
      <c r="AM61" s="38">
        <f>F61*AE61</f>
        <v>0</v>
      </c>
      <c r="AN61" s="38">
        <f>F61*AF61</f>
        <v>0</v>
      </c>
      <c r="AO61" s="39" t="s">
        <v>122</v>
      </c>
      <c r="AP61" s="39" t="s">
        <v>116</v>
      </c>
      <c r="AQ61" s="32" t="s">
        <v>55</v>
      </c>
      <c r="AS61" s="38">
        <f>AM61+AN61</f>
        <v>0</v>
      </c>
      <c r="AT61" s="38">
        <f>G61/(100-AU61)*100</f>
        <v>0</v>
      </c>
      <c r="AU61" s="38">
        <v>0</v>
      </c>
      <c r="AV61" s="38">
        <f>L61</f>
        <v>0.0383805</v>
      </c>
    </row>
    <row r="62" spans="4:6" ht="12.75">
      <c r="D62" s="40" t="s">
        <v>148</v>
      </c>
      <c r="F62" s="41">
        <v>72.57</v>
      </c>
    </row>
    <row r="63" spans="4:6" ht="12.75">
      <c r="D63" s="40" t="s">
        <v>149</v>
      </c>
      <c r="F63" s="41">
        <v>51</v>
      </c>
    </row>
    <row r="64" spans="4:6" ht="12.75">
      <c r="D64" s="40" t="s">
        <v>150</v>
      </c>
      <c r="F64" s="41">
        <v>93.6</v>
      </c>
    </row>
    <row r="65" spans="4:6" ht="12.75">
      <c r="D65" s="40" t="s">
        <v>151</v>
      </c>
      <c r="F65" s="41">
        <v>10.5</v>
      </c>
    </row>
    <row r="66" spans="4:6" ht="12.75">
      <c r="D66" s="40" t="s">
        <v>152</v>
      </c>
      <c r="F66" s="41">
        <v>28.2</v>
      </c>
    </row>
    <row r="67" spans="1:48" ht="12.75">
      <c r="A67" s="11" t="s">
        <v>69</v>
      </c>
      <c r="B67" s="11"/>
      <c r="C67" s="11" t="s">
        <v>153</v>
      </c>
      <c r="D67" s="11" t="s">
        <v>154</v>
      </c>
      <c r="E67" s="11" t="s">
        <v>114</v>
      </c>
      <c r="F67" s="38">
        <v>89.37</v>
      </c>
      <c r="G67" s="38">
        <v>0</v>
      </c>
      <c r="H67" s="38">
        <f>F67*AE67</f>
        <v>0</v>
      </c>
      <c r="I67" s="38">
        <f>J67-H67</f>
        <v>0</v>
      </c>
      <c r="J67" s="38">
        <f>F67*G67</f>
        <v>0</v>
      </c>
      <c r="K67" s="38">
        <v>0</v>
      </c>
      <c r="L67" s="38">
        <f>F67*K67</f>
        <v>0</v>
      </c>
      <c r="M67" s="39" t="s">
        <v>53</v>
      </c>
      <c r="P67" s="38">
        <f>IF(AG67="5",J67,0)</f>
        <v>0</v>
      </c>
      <c r="R67" s="38">
        <f>IF(AG67="1",H67,0)</f>
        <v>0</v>
      </c>
      <c r="S67" s="38">
        <f>IF(AG67="1",I67,0)</f>
        <v>0</v>
      </c>
      <c r="T67" s="38">
        <f>IF(AG67="7",H67,0)</f>
        <v>0</v>
      </c>
      <c r="U67" s="38">
        <f>IF(AG67="7",I67,0)</f>
        <v>0</v>
      </c>
      <c r="V67" s="38">
        <f>IF(AG67="2",H67,0)</f>
        <v>0</v>
      </c>
      <c r="W67" s="38">
        <f>IF(AG67="2",I67,0)</f>
        <v>0</v>
      </c>
      <c r="X67" s="38">
        <f>IF(AG67="0",J67,0)</f>
        <v>0</v>
      </c>
      <c r="Y67" s="32"/>
      <c r="Z67" s="38">
        <f>IF(AD67=0,J67,0)</f>
        <v>0</v>
      </c>
      <c r="AA67" s="38">
        <f>IF(AD67=15,J67,0)</f>
        <v>0</v>
      </c>
      <c r="AB67" s="38">
        <f>IF(AD67=21,J67,0)</f>
        <v>0</v>
      </c>
      <c r="AD67" s="38">
        <v>15</v>
      </c>
      <c r="AE67" s="38">
        <f>G67*0.483515888981246</f>
        <v>0</v>
      </c>
      <c r="AF67" s="38">
        <f>G67*(1-0.483515888981246)</f>
        <v>0</v>
      </c>
      <c r="AG67" s="39" t="s">
        <v>49</v>
      </c>
      <c r="AM67" s="38">
        <f>F67*AE67</f>
        <v>0</v>
      </c>
      <c r="AN67" s="38">
        <f>F67*AF67</f>
        <v>0</v>
      </c>
      <c r="AO67" s="39" t="s">
        <v>122</v>
      </c>
      <c r="AP67" s="39" t="s">
        <v>116</v>
      </c>
      <c r="AQ67" s="32" t="s">
        <v>55</v>
      </c>
      <c r="AS67" s="38">
        <f>AM67+AN67</f>
        <v>0</v>
      </c>
      <c r="AT67" s="38">
        <f>G67/(100-AU67)*100</f>
        <v>0</v>
      </c>
      <c r="AU67" s="38">
        <v>0</v>
      </c>
      <c r="AV67" s="38">
        <f>L67</f>
        <v>0</v>
      </c>
    </row>
    <row r="68" spans="4:6" ht="12.75">
      <c r="D68" s="40" t="s">
        <v>155</v>
      </c>
      <c r="F68" s="41">
        <v>89.37</v>
      </c>
    </row>
    <row r="69" spans="1:48" ht="12.75">
      <c r="A69" s="11" t="s">
        <v>156</v>
      </c>
      <c r="B69" s="11"/>
      <c r="C69" s="11" t="s">
        <v>157</v>
      </c>
      <c r="D69" s="11" t="s">
        <v>158</v>
      </c>
      <c r="E69" s="11" t="s">
        <v>81</v>
      </c>
      <c r="F69" s="38">
        <v>652.682</v>
      </c>
      <c r="G69" s="38">
        <v>0</v>
      </c>
      <c r="H69" s="38">
        <f>F69*AE69</f>
        <v>0</v>
      </c>
      <c r="I69" s="38">
        <f>J69-H69</f>
        <v>0</v>
      </c>
      <c r="J69" s="38">
        <f>F69*G69</f>
        <v>0</v>
      </c>
      <c r="K69" s="38">
        <v>2E-05</v>
      </c>
      <c r="L69" s="38">
        <f>F69*K69</f>
        <v>0.013053640000000002</v>
      </c>
      <c r="M69" s="39" t="s">
        <v>53</v>
      </c>
      <c r="P69" s="38">
        <f>IF(AG69="5",J69,0)</f>
        <v>0</v>
      </c>
      <c r="R69" s="38">
        <f>IF(AG69="1",H69,0)</f>
        <v>0</v>
      </c>
      <c r="S69" s="38">
        <f>IF(AG69="1",I69,0)</f>
        <v>0</v>
      </c>
      <c r="T69" s="38">
        <f>IF(AG69="7",H69,0)</f>
        <v>0</v>
      </c>
      <c r="U69" s="38">
        <f>IF(AG69="7",I69,0)</f>
        <v>0</v>
      </c>
      <c r="V69" s="38">
        <f>IF(AG69="2",H69,0)</f>
        <v>0</v>
      </c>
      <c r="W69" s="38">
        <f>IF(AG69="2",I69,0)</f>
        <v>0</v>
      </c>
      <c r="X69" s="38">
        <f>IF(AG69="0",J69,0)</f>
        <v>0</v>
      </c>
      <c r="Y69" s="32"/>
      <c r="Z69" s="38">
        <f>IF(AD69=0,J69,0)</f>
        <v>0</v>
      </c>
      <c r="AA69" s="38">
        <f>IF(AD69=15,J69,0)</f>
        <v>0</v>
      </c>
      <c r="AB69" s="38">
        <f>IF(AD69=21,J69,0)</f>
        <v>0</v>
      </c>
      <c r="AD69" s="38">
        <v>15</v>
      </c>
      <c r="AE69" s="38">
        <f>G69*0.0790392896760562</f>
        <v>0</v>
      </c>
      <c r="AF69" s="38">
        <f>G69*(1-0.0790392896760562)</f>
        <v>0</v>
      </c>
      <c r="AG69" s="39" t="s">
        <v>49</v>
      </c>
      <c r="AM69" s="38">
        <f>F69*AE69</f>
        <v>0</v>
      </c>
      <c r="AN69" s="38">
        <f>F69*AF69</f>
        <v>0</v>
      </c>
      <c r="AO69" s="39" t="s">
        <v>122</v>
      </c>
      <c r="AP69" s="39" t="s">
        <v>116</v>
      </c>
      <c r="AQ69" s="32" t="s">
        <v>55</v>
      </c>
      <c r="AS69" s="38">
        <f>AM69+AN69</f>
        <v>0</v>
      </c>
      <c r="AT69" s="38">
        <f>G69/(100-AU69)*100</f>
        <v>0</v>
      </c>
      <c r="AU69" s="38">
        <v>0</v>
      </c>
      <c r="AV69" s="38">
        <f>L69</f>
        <v>0.013053640000000002</v>
      </c>
    </row>
    <row r="70" spans="4:6" ht="12.75">
      <c r="D70" s="40" t="s">
        <v>159</v>
      </c>
      <c r="F70" s="41">
        <v>652.682</v>
      </c>
    </row>
    <row r="71" spans="1:48" ht="12.75">
      <c r="A71" s="11" t="s">
        <v>76</v>
      </c>
      <c r="B71" s="11"/>
      <c r="C71" s="11" t="s">
        <v>160</v>
      </c>
      <c r="D71" s="11" t="s">
        <v>161</v>
      </c>
      <c r="E71" s="11" t="s">
        <v>81</v>
      </c>
      <c r="F71" s="38">
        <v>122.025</v>
      </c>
      <c r="G71" s="38">
        <v>0</v>
      </c>
      <c r="H71" s="38">
        <f>F71*AE71</f>
        <v>0</v>
      </c>
      <c r="I71" s="38">
        <f>J71-H71</f>
        <v>0</v>
      </c>
      <c r="J71" s="38">
        <f>F71*G71</f>
        <v>0</v>
      </c>
      <c r="K71" s="38">
        <v>0.03045</v>
      </c>
      <c r="L71" s="38">
        <f>F71*K71</f>
        <v>3.71566125</v>
      </c>
      <c r="M71" s="39" t="s">
        <v>53</v>
      </c>
      <c r="P71" s="38">
        <f>IF(AG71="5",J71,0)</f>
        <v>0</v>
      </c>
      <c r="R71" s="38">
        <f>IF(AG71="1",H71,0)</f>
        <v>0</v>
      </c>
      <c r="S71" s="38">
        <f>IF(AG71="1",I71,0)</f>
        <v>0</v>
      </c>
      <c r="T71" s="38">
        <f>IF(AG71="7",H71,0)</f>
        <v>0</v>
      </c>
      <c r="U71" s="38">
        <f>IF(AG71="7",I71,0)</f>
        <v>0</v>
      </c>
      <c r="V71" s="38">
        <f>IF(AG71="2",H71,0)</f>
        <v>0</v>
      </c>
      <c r="W71" s="38">
        <f>IF(AG71="2",I71,0)</f>
        <v>0</v>
      </c>
      <c r="X71" s="38">
        <f>IF(AG71="0",J71,0)</f>
        <v>0</v>
      </c>
      <c r="Y71" s="32"/>
      <c r="Z71" s="38">
        <f>IF(AD71=0,J71,0)</f>
        <v>0</v>
      </c>
      <c r="AA71" s="38">
        <f>IF(AD71=15,J71,0)</f>
        <v>0</v>
      </c>
      <c r="AB71" s="38">
        <f>IF(AD71=21,J71,0)</f>
        <v>0</v>
      </c>
      <c r="AD71" s="38">
        <v>15</v>
      </c>
      <c r="AE71" s="38">
        <f>G71*0.336410239579389</f>
        <v>0</v>
      </c>
      <c r="AF71" s="38">
        <f>G71*(1-0.336410239579389)</f>
        <v>0</v>
      </c>
      <c r="AG71" s="39" t="s">
        <v>49</v>
      </c>
      <c r="AM71" s="38">
        <f>F71*AE71</f>
        <v>0</v>
      </c>
      <c r="AN71" s="38">
        <f>F71*AF71</f>
        <v>0</v>
      </c>
      <c r="AO71" s="39" t="s">
        <v>122</v>
      </c>
      <c r="AP71" s="39" t="s">
        <v>116</v>
      </c>
      <c r="AQ71" s="32" t="s">
        <v>55</v>
      </c>
      <c r="AS71" s="38">
        <f>AM71+AN71</f>
        <v>0</v>
      </c>
      <c r="AT71" s="38">
        <f>G71/(100-AU71)*100</f>
        <v>0</v>
      </c>
      <c r="AU71" s="38">
        <v>0</v>
      </c>
      <c r="AV71" s="38">
        <f>L71</f>
        <v>3.71566125</v>
      </c>
    </row>
    <row r="72" spans="4:6" ht="12.75">
      <c r="D72" s="40" t="s">
        <v>162</v>
      </c>
      <c r="F72" s="41">
        <v>122.025</v>
      </c>
    </row>
    <row r="73" spans="1:48" ht="12.75">
      <c r="A73" s="11" t="s">
        <v>163</v>
      </c>
      <c r="B73" s="11"/>
      <c r="C73" s="11" t="s">
        <v>164</v>
      </c>
      <c r="D73" s="11" t="s">
        <v>165</v>
      </c>
      <c r="E73" s="11" t="s">
        <v>81</v>
      </c>
      <c r="F73" s="38">
        <v>101.82</v>
      </c>
      <c r="G73" s="38">
        <v>0</v>
      </c>
      <c r="H73" s="38">
        <f>F73*AE73</f>
        <v>0</v>
      </c>
      <c r="I73" s="38">
        <f>J73-H73</f>
        <v>0</v>
      </c>
      <c r="J73" s="38">
        <f>F73*G73</f>
        <v>0</v>
      </c>
      <c r="K73" s="38">
        <v>0.01264</v>
      </c>
      <c r="L73" s="38">
        <f>F73*K73</f>
        <v>1.2870047999999998</v>
      </c>
      <c r="M73" s="39" t="s">
        <v>53</v>
      </c>
      <c r="P73" s="38">
        <f>IF(AG73="5",J73,0)</f>
        <v>0</v>
      </c>
      <c r="R73" s="38">
        <f>IF(AG73="1",H73,0)</f>
        <v>0</v>
      </c>
      <c r="S73" s="38">
        <f>IF(AG73="1",I73,0)</f>
        <v>0</v>
      </c>
      <c r="T73" s="38">
        <f>IF(AG73="7",H73,0)</f>
        <v>0</v>
      </c>
      <c r="U73" s="38">
        <f>IF(AG73="7",I73,0)</f>
        <v>0</v>
      </c>
      <c r="V73" s="38">
        <f>IF(AG73="2",H73,0)</f>
        <v>0</v>
      </c>
      <c r="W73" s="38">
        <f>IF(AG73="2",I73,0)</f>
        <v>0</v>
      </c>
      <c r="X73" s="38">
        <f>IF(AG73="0",J73,0)</f>
        <v>0</v>
      </c>
      <c r="Y73" s="32"/>
      <c r="Z73" s="38">
        <f>IF(AD73=0,J73,0)</f>
        <v>0</v>
      </c>
      <c r="AA73" s="38">
        <f>IF(AD73=15,J73,0)</f>
        <v>0</v>
      </c>
      <c r="AB73" s="38">
        <f>IF(AD73=21,J73,0)</f>
        <v>0</v>
      </c>
      <c r="AD73" s="38">
        <v>15</v>
      </c>
      <c r="AE73" s="38">
        <f>G73*0.674454382826476</f>
        <v>0</v>
      </c>
      <c r="AF73" s="38">
        <f>G73*(1-0.674454382826476)</f>
        <v>0</v>
      </c>
      <c r="AG73" s="39" t="s">
        <v>49</v>
      </c>
      <c r="AM73" s="38">
        <f>F73*AE73</f>
        <v>0</v>
      </c>
      <c r="AN73" s="38">
        <f>F73*AF73</f>
        <v>0</v>
      </c>
      <c r="AO73" s="39" t="s">
        <v>122</v>
      </c>
      <c r="AP73" s="39" t="s">
        <v>116</v>
      </c>
      <c r="AQ73" s="32" t="s">
        <v>55</v>
      </c>
      <c r="AS73" s="38">
        <f>AM73+AN73</f>
        <v>0</v>
      </c>
      <c r="AT73" s="38">
        <f>G73/(100-AU73)*100</f>
        <v>0</v>
      </c>
      <c r="AU73" s="38">
        <v>0</v>
      </c>
      <c r="AV73" s="38">
        <f>L73</f>
        <v>1.2870047999999998</v>
      </c>
    </row>
    <row r="74" spans="4:6" ht="12.75">
      <c r="D74" s="40" t="s">
        <v>166</v>
      </c>
      <c r="F74" s="41">
        <v>101.82</v>
      </c>
    </row>
    <row r="75" spans="1:48" ht="12.75">
      <c r="A75" s="11" t="s">
        <v>167</v>
      </c>
      <c r="B75" s="11"/>
      <c r="C75" s="11" t="s">
        <v>168</v>
      </c>
      <c r="D75" s="11" t="s">
        <v>169</v>
      </c>
      <c r="E75" s="11" t="s">
        <v>81</v>
      </c>
      <c r="F75" s="38">
        <v>101.82</v>
      </c>
      <c r="G75" s="38">
        <v>0</v>
      </c>
      <c r="H75" s="38">
        <f>F75*AE75</f>
        <v>0</v>
      </c>
      <c r="I75" s="38">
        <f>J75-H75</f>
        <v>0</v>
      </c>
      <c r="J75" s="38">
        <f>F75*G75</f>
        <v>0</v>
      </c>
      <c r="K75" s="38">
        <v>0.00018</v>
      </c>
      <c r="L75" s="38">
        <f>F75*K75</f>
        <v>0.0183276</v>
      </c>
      <c r="M75" s="39" t="s">
        <v>53</v>
      </c>
      <c r="P75" s="38">
        <f>IF(AG75="5",J75,0)</f>
        <v>0</v>
      </c>
      <c r="R75" s="38">
        <f>IF(AG75="1",H75,0)</f>
        <v>0</v>
      </c>
      <c r="S75" s="38">
        <f>IF(AG75="1",I75,0)</f>
        <v>0</v>
      </c>
      <c r="T75" s="38">
        <f>IF(AG75="7",H75,0)</f>
        <v>0</v>
      </c>
      <c r="U75" s="38">
        <f>IF(AG75="7",I75,0)</f>
        <v>0</v>
      </c>
      <c r="V75" s="38">
        <f>IF(AG75="2",H75,0)</f>
        <v>0</v>
      </c>
      <c r="W75" s="38">
        <f>IF(AG75="2",I75,0)</f>
        <v>0</v>
      </c>
      <c r="X75" s="38">
        <f>IF(AG75="0",J75,0)</f>
        <v>0</v>
      </c>
      <c r="Y75" s="32"/>
      <c r="Z75" s="38">
        <f>IF(AD75=0,J75,0)</f>
        <v>0</v>
      </c>
      <c r="AA75" s="38">
        <f>IF(AD75=15,J75,0)</f>
        <v>0</v>
      </c>
      <c r="AB75" s="38">
        <f>IF(AD75=21,J75,0)</f>
        <v>0</v>
      </c>
      <c r="AD75" s="38">
        <v>15</v>
      </c>
      <c r="AE75" s="38">
        <f>G75*0.468825697610667</f>
        <v>0</v>
      </c>
      <c r="AF75" s="38">
        <f>G75*(1-0.468825697610667)</f>
        <v>0</v>
      </c>
      <c r="AG75" s="39" t="s">
        <v>49</v>
      </c>
      <c r="AM75" s="38">
        <f>F75*AE75</f>
        <v>0</v>
      </c>
      <c r="AN75" s="38">
        <f>F75*AF75</f>
        <v>0</v>
      </c>
      <c r="AO75" s="39" t="s">
        <v>122</v>
      </c>
      <c r="AP75" s="39" t="s">
        <v>116</v>
      </c>
      <c r="AQ75" s="32" t="s">
        <v>55</v>
      </c>
      <c r="AS75" s="38">
        <f>AM75+AN75</f>
        <v>0</v>
      </c>
      <c r="AT75" s="38">
        <f>G75/(100-AU75)*100</f>
        <v>0</v>
      </c>
      <c r="AU75" s="38">
        <v>0</v>
      </c>
      <c r="AV75" s="38">
        <f>L75</f>
        <v>0.0183276</v>
      </c>
    </row>
    <row r="76" spans="4:6" ht="12.75">
      <c r="D76" s="40" t="s">
        <v>170</v>
      </c>
      <c r="F76" s="41">
        <v>101.82</v>
      </c>
    </row>
    <row r="77" spans="1:48" ht="12.75">
      <c r="A77" s="11" t="s">
        <v>171</v>
      </c>
      <c r="B77" s="11"/>
      <c r="C77" s="11" t="s">
        <v>172</v>
      </c>
      <c r="D77" s="11" t="s">
        <v>173</v>
      </c>
      <c r="E77" s="11" t="s">
        <v>81</v>
      </c>
      <c r="F77" s="38">
        <v>105.8928</v>
      </c>
      <c r="G77" s="38">
        <v>0</v>
      </c>
      <c r="H77" s="38">
        <f>F77*AE77</f>
        <v>0</v>
      </c>
      <c r="I77" s="38">
        <f>J77-H77</f>
        <v>0</v>
      </c>
      <c r="J77" s="38">
        <f>F77*G77</f>
        <v>0</v>
      </c>
      <c r="K77" s="38">
        <v>0.01729</v>
      </c>
      <c r="L77" s="38">
        <f>F77*K77</f>
        <v>1.830886512</v>
      </c>
      <c r="M77" s="39" t="s">
        <v>53</v>
      </c>
      <c r="P77" s="38">
        <f>IF(AG77="5",J77,0)</f>
        <v>0</v>
      </c>
      <c r="R77" s="38">
        <f>IF(AG77="1",H77,0)</f>
        <v>0</v>
      </c>
      <c r="S77" s="38">
        <f>IF(AG77="1",I77,0)</f>
        <v>0</v>
      </c>
      <c r="T77" s="38">
        <f>IF(AG77="7",H77,0)</f>
        <v>0</v>
      </c>
      <c r="U77" s="38">
        <f>IF(AG77="7",I77,0)</f>
        <v>0</v>
      </c>
      <c r="V77" s="38">
        <f>IF(AG77="2",H77,0)</f>
        <v>0</v>
      </c>
      <c r="W77" s="38">
        <f>IF(AG77="2",I77,0)</f>
        <v>0</v>
      </c>
      <c r="X77" s="38">
        <f>IF(AG77="0",J77,0)</f>
        <v>0</v>
      </c>
      <c r="Y77" s="32"/>
      <c r="Z77" s="38">
        <f>IF(AD77=0,J77,0)</f>
        <v>0</v>
      </c>
      <c r="AA77" s="38">
        <f>IF(AD77=15,J77,0)</f>
        <v>0</v>
      </c>
      <c r="AB77" s="38">
        <f>IF(AD77=21,J77,0)</f>
        <v>0</v>
      </c>
      <c r="AD77" s="38">
        <v>15</v>
      </c>
      <c r="AE77" s="38">
        <f>G77*1</f>
        <v>0</v>
      </c>
      <c r="AF77" s="38">
        <f>G77*(1-1)</f>
        <v>0</v>
      </c>
      <c r="AG77" s="39" t="s">
        <v>49</v>
      </c>
      <c r="AM77" s="38">
        <f>F77*AE77</f>
        <v>0</v>
      </c>
      <c r="AN77" s="38">
        <f>F77*AF77</f>
        <v>0</v>
      </c>
      <c r="AO77" s="39" t="s">
        <v>122</v>
      </c>
      <c r="AP77" s="39" t="s">
        <v>116</v>
      </c>
      <c r="AQ77" s="32" t="s">
        <v>55</v>
      </c>
      <c r="AS77" s="38">
        <f>AM77+AN77</f>
        <v>0</v>
      </c>
      <c r="AT77" s="38">
        <f>G77/(100-AU77)*100</f>
        <v>0</v>
      </c>
      <c r="AU77" s="38">
        <v>0</v>
      </c>
      <c r="AV77" s="38">
        <f>L77</f>
        <v>1.830886512</v>
      </c>
    </row>
    <row r="78" spans="4:6" ht="12.75">
      <c r="D78" s="40" t="s">
        <v>174</v>
      </c>
      <c r="F78" s="41">
        <v>101.82</v>
      </c>
    </row>
    <row r="79" spans="4:6" ht="12.75">
      <c r="D79" s="40" t="s">
        <v>175</v>
      </c>
      <c r="F79" s="41">
        <v>4.0728</v>
      </c>
    </row>
    <row r="80" spans="1:48" ht="12.75">
      <c r="A80" s="11" t="s">
        <v>176</v>
      </c>
      <c r="B80" s="11"/>
      <c r="C80" s="11" t="s">
        <v>177</v>
      </c>
      <c r="D80" s="11" t="s">
        <v>178</v>
      </c>
      <c r="E80" s="11" t="s">
        <v>81</v>
      </c>
      <c r="F80" s="38">
        <v>645.3325</v>
      </c>
      <c r="G80" s="38">
        <v>0</v>
      </c>
      <c r="H80" s="38">
        <f>F80*AE80</f>
        <v>0</v>
      </c>
      <c r="I80" s="38">
        <f>J80-H80</f>
        <v>0</v>
      </c>
      <c r="J80" s="38">
        <f>F80*G80</f>
        <v>0</v>
      </c>
      <c r="K80" s="38">
        <v>0.01205</v>
      </c>
      <c r="L80" s="38">
        <f>F80*K80</f>
        <v>7.776256624999999</v>
      </c>
      <c r="M80" s="39" t="s">
        <v>53</v>
      </c>
      <c r="P80" s="38">
        <f>IF(AG80="5",J80,0)</f>
        <v>0</v>
      </c>
      <c r="R80" s="38">
        <f>IF(AG80="1",H80,0)</f>
        <v>0</v>
      </c>
      <c r="S80" s="38">
        <f>IF(AG80="1",I80,0)</f>
        <v>0</v>
      </c>
      <c r="T80" s="38">
        <f>IF(AG80="7",H80,0)</f>
        <v>0</v>
      </c>
      <c r="U80" s="38">
        <f>IF(AG80="7",I80,0)</f>
        <v>0</v>
      </c>
      <c r="V80" s="38">
        <f>IF(AG80="2",H80,0)</f>
        <v>0</v>
      </c>
      <c r="W80" s="38">
        <f>IF(AG80="2",I80,0)</f>
        <v>0</v>
      </c>
      <c r="X80" s="38">
        <f>IF(AG80="0",J80,0)</f>
        <v>0</v>
      </c>
      <c r="Y80" s="32"/>
      <c r="Z80" s="38">
        <f>IF(AD80=0,J80,0)</f>
        <v>0</v>
      </c>
      <c r="AA80" s="38">
        <f>IF(AD80=15,J80,0)</f>
        <v>0</v>
      </c>
      <c r="AB80" s="38">
        <f>IF(AD80=21,J80,0)</f>
        <v>0</v>
      </c>
      <c r="AD80" s="38">
        <v>15</v>
      </c>
      <c r="AE80" s="38">
        <f>G80*0.257975848616906</f>
        <v>0</v>
      </c>
      <c r="AF80" s="38">
        <f>G80*(1-0.257975848616906)</f>
        <v>0</v>
      </c>
      <c r="AG80" s="39" t="s">
        <v>49</v>
      </c>
      <c r="AM80" s="38">
        <f>F80*AE80</f>
        <v>0</v>
      </c>
      <c r="AN80" s="38">
        <f>F80*AF80</f>
        <v>0</v>
      </c>
      <c r="AO80" s="39" t="s">
        <v>122</v>
      </c>
      <c r="AP80" s="39" t="s">
        <v>116</v>
      </c>
      <c r="AQ80" s="32" t="s">
        <v>55</v>
      </c>
      <c r="AS80" s="38">
        <f>AM80+AN80</f>
        <v>0</v>
      </c>
      <c r="AT80" s="38">
        <f>G80/(100-AU80)*100</f>
        <v>0</v>
      </c>
      <c r="AU80" s="38">
        <v>0</v>
      </c>
      <c r="AV80" s="38">
        <f>L80</f>
        <v>7.776256624999999</v>
      </c>
    </row>
    <row r="81" spans="4:6" ht="12.75">
      <c r="D81" s="40" t="s">
        <v>179</v>
      </c>
      <c r="F81" s="41">
        <v>755.165</v>
      </c>
    </row>
    <row r="82" spans="4:6" ht="12.75">
      <c r="D82" s="40" t="s">
        <v>180</v>
      </c>
      <c r="F82" s="41">
        <v>-97.4825</v>
      </c>
    </row>
    <row r="83" spans="4:6" ht="12.75">
      <c r="D83" s="40" t="s">
        <v>181</v>
      </c>
      <c r="F83" s="41">
        <v>-5</v>
      </c>
    </row>
    <row r="84" spans="4:6" ht="12.75">
      <c r="D84" s="40" t="s">
        <v>182</v>
      </c>
      <c r="F84" s="41">
        <v>-7.35</v>
      </c>
    </row>
    <row r="85" spans="1:48" ht="12.75">
      <c r="A85" s="11" t="s">
        <v>183</v>
      </c>
      <c r="B85" s="11"/>
      <c r="C85" s="11" t="s">
        <v>184</v>
      </c>
      <c r="D85" s="11" t="s">
        <v>185</v>
      </c>
      <c r="E85" s="11" t="s">
        <v>81</v>
      </c>
      <c r="F85" s="38">
        <v>37.86</v>
      </c>
      <c r="G85" s="38">
        <v>0</v>
      </c>
      <c r="H85" s="38">
        <f>F85*AE85</f>
        <v>0</v>
      </c>
      <c r="I85" s="38">
        <f>J85-H85</f>
        <v>0</v>
      </c>
      <c r="J85" s="38">
        <f>F85*G85</f>
        <v>0</v>
      </c>
      <c r="K85" s="38">
        <v>0.01932</v>
      </c>
      <c r="L85" s="38">
        <f>F85*K85</f>
        <v>0.7314552</v>
      </c>
      <c r="M85" s="39" t="s">
        <v>53</v>
      </c>
      <c r="P85" s="38">
        <f>IF(AG85="5",J85,0)</f>
        <v>0</v>
      </c>
      <c r="R85" s="38">
        <f>IF(AG85="1",H85,0)</f>
        <v>0</v>
      </c>
      <c r="S85" s="38">
        <f>IF(AG85="1",I85,0)</f>
        <v>0</v>
      </c>
      <c r="T85" s="38">
        <f>IF(AG85="7",H85,0)</f>
        <v>0</v>
      </c>
      <c r="U85" s="38">
        <f>IF(AG85="7",I85,0)</f>
        <v>0</v>
      </c>
      <c r="V85" s="38">
        <f>IF(AG85="2",H85,0)</f>
        <v>0</v>
      </c>
      <c r="W85" s="38">
        <f>IF(AG85="2",I85,0)</f>
        <v>0</v>
      </c>
      <c r="X85" s="38">
        <f>IF(AG85="0",J85,0)</f>
        <v>0</v>
      </c>
      <c r="Y85" s="32"/>
      <c r="Z85" s="38">
        <f>IF(AD85=0,J85,0)</f>
        <v>0</v>
      </c>
      <c r="AA85" s="38">
        <f>IF(AD85=15,J85,0)</f>
        <v>0</v>
      </c>
      <c r="AB85" s="38">
        <f>IF(AD85=21,J85,0)</f>
        <v>0</v>
      </c>
      <c r="AD85" s="38">
        <v>15</v>
      </c>
      <c r="AE85" s="38">
        <f>G85*0.224565756823821</f>
        <v>0</v>
      </c>
      <c r="AF85" s="38">
        <f>G85*(1-0.224565756823821)</f>
        <v>0</v>
      </c>
      <c r="AG85" s="39" t="s">
        <v>49</v>
      </c>
      <c r="AM85" s="38">
        <f>F85*AE85</f>
        <v>0</v>
      </c>
      <c r="AN85" s="38">
        <f>F85*AF85</f>
        <v>0</v>
      </c>
      <c r="AO85" s="39" t="s">
        <v>122</v>
      </c>
      <c r="AP85" s="39" t="s">
        <v>116</v>
      </c>
      <c r="AQ85" s="32" t="s">
        <v>55</v>
      </c>
      <c r="AS85" s="38">
        <f>AM85+AN85</f>
        <v>0</v>
      </c>
      <c r="AT85" s="38">
        <f>G85/(100-AU85)*100</f>
        <v>0</v>
      </c>
      <c r="AU85" s="38">
        <v>0</v>
      </c>
      <c r="AV85" s="38">
        <f>L85</f>
        <v>0.7314552</v>
      </c>
    </row>
    <row r="86" spans="4:6" ht="12.75">
      <c r="D86" s="40" t="s">
        <v>186</v>
      </c>
      <c r="F86" s="41">
        <v>33.94</v>
      </c>
    </row>
    <row r="87" spans="4:6" ht="12.75">
      <c r="D87" s="40" t="s">
        <v>187</v>
      </c>
      <c r="F87" s="41">
        <v>3.92</v>
      </c>
    </row>
    <row r="88" spans="1:48" ht="12.75">
      <c r="A88" s="11" t="s">
        <v>188</v>
      </c>
      <c r="B88" s="11"/>
      <c r="C88" s="11" t="s">
        <v>189</v>
      </c>
      <c r="D88" s="11" t="s">
        <v>190</v>
      </c>
      <c r="E88" s="11" t="s">
        <v>81</v>
      </c>
      <c r="F88" s="38">
        <v>41.78</v>
      </c>
      <c r="G88" s="38">
        <v>0</v>
      </c>
      <c r="H88" s="38">
        <f>F88*AE88</f>
        <v>0</v>
      </c>
      <c r="I88" s="38">
        <f>J88-H88</f>
        <v>0</v>
      </c>
      <c r="J88" s="38">
        <f>F88*G88</f>
        <v>0</v>
      </c>
      <c r="K88" s="38">
        <v>0.00367</v>
      </c>
      <c r="L88" s="38">
        <f>F88*K88</f>
        <v>0.1533326</v>
      </c>
      <c r="M88" s="39" t="s">
        <v>53</v>
      </c>
      <c r="P88" s="38">
        <f>IF(AG88="5",J88,0)</f>
        <v>0</v>
      </c>
      <c r="R88" s="38">
        <f>IF(AG88="1",H88,0)</f>
        <v>0</v>
      </c>
      <c r="S88" s="38">
        <f>IF(AG88="1",I88,0)</f>
        <v>0</v>
      </c>
      <c r="T88" s="38">
        <f>IF(AG88="7",H88,0)</f>
        <v>0</v>
      </c>
      <c r="U88" s="38">
        <f>IF(AG88="7",I88,0)</f>
        <v>0</v>
      </c>
      <c r="V88" s="38">
        <f>IF(AG88="2",H88,0)</f>
        <v>0</v>
      </c>
      <c r="W88" s="38">
        <f>IF(AG88="2",I88,0)</f>
        <v>0</v>
      </c>
      <c r="X88" s="38">
        <f>IF(AG88="0",J88,0)</f>
        <v>0</v>
      </c>
      <c r="Y88" s="32"/>
      <c r="Z88" s="38">
        <f>IF(AD88=0,J88,0)</f>
        <v>0</v>
      </c>
      <c r="AA88" s="38">
        <f>IF(AD88=15,J88,0)</f>
        <v>0</v>
      </c>
      <c r="AB88" s="38">
        <f>IF(AD88=21,J88,0)</f>
        <v>0</v>
      </c>
      <c r="AD88" s="38">
        <v>15</v>
      </c>
      <c r="AE88" s="38">
        <f>G88*0.225418513340522</f>
        <v>0</v>
      </c>
      <c r="AF88" s="38">
        <f>G88*(1-0.225418513340522)</f>
        <v>0</v>
      </c>
      <c r="AG88" s="39" t="s">
        <v>49</v>
      </c>
      <c r="AM88" s="38">
        <f>F88*AE88</f>
        <v>0</v>
      </c>
      <c r="AN88" s="38">
        <f>F88*AF88</f>
        <v>0</v>
      </c>
      <c r="AO88" s="39" t="s">
        <v>122</v>
      </c>
      <c r="AP88" s="39" t="s">
        <v>116</v>
      </c>
      <c r="AQ88" s="32" t="s">
        <v>55</v>
      </c>
      <c r="AS88" s="38">
        <f>AM88+AN88</f>
        <v>0</v>
      </c>
      <c r="AT88" s="38">
        <f>G88/(100-AU88)*100</f>
        <v>0</v>
      </c>
      <c r="AU88" s="38">
        <v>0</v>
      </c>
      <c r="AV88" s="38">
        <f>L88</f>
        <v>0.1533326</v>
      </c>
    </row>
    <row r="89" spans="4:6" ht="12.75">
      <c r="D89" s="40" t="s">
        <v>191</v>
      </c>
      <c r="F89" s="41">
        <v>3.92</v>
      </c>
    </row>
    <row r="90" spans="4:6" ht="12.75">
      <c r="D90" s="40" t="s">
        <v>192</v>
      </c>
      <c r="F90" s="41">
        <v>37.86</v>
      </c>
    </row>
    <row r="91" spans="1:48" ht="12.75">
      <c r="A91" s="11" t="s">
        <v>193</v>
      </c>
      <c r="B91" s="11"/>
      <c r="C91" s="11" t="s">
        <v>194</v>
      </c>
      <c r="D91" s="11" t="s">
        <v>195</v>
      </c>
      <c r="E91" s="11" t="s">
        <v>81</v>
      </c>
      <c r="F91" s="38">
        <v>3.92</v>
      </c>
      <c r="G91" s="38">
        <v>0</v>
      </c>
      <c r="H91" s="38">
        <f>F91*AE91</f>
        <v>0</v>
      </c>
      <c r="I91" s="38">
        <f>J91-H91</f>
        <v>0</v>
      </c>
      <c r="J91" s="38">
        <f>F91*G91</f>
        <v>0</v>
      </c>
      <c r="K91" s="38">
        <v>0.00062</v>
      </c>
      <c r="L91" s="38">
        <f>F91*K91</f>
        <v>0.0024304</v>
      </c>
      <c r="M91" s="39" t="s">
        <v>53</v>
      </c>
      <c r="P91" s="38">
        <f>IF(AG91="5",J91,0)</f>
        <v>0</v>
      </c>
      <c r="R91" s="38">
        <f>IF(AG91="1",H91,0)</f>
        <v>0</v>
      </c>
      <c r="S91" s="38">
        <f>IF(AG91="1",I91,0)</f>
        <v>0</v>
      </c>
      <c r="T91" s="38">
        <f>IF(AG91="7",H91,0)</f>
        <v>0</v>
      </c>
      <c r="U91" s="38">
        <f>IF(AG91="7",I91,0)</f>
        <v>0</v>
      </c>
      <c r="V91" s="38">
        <f>IF(AG91="2",H91,0)</f>
        <v>0</v>
      </c>
      <c r="W91" s="38">
        <f>IF(AG91="2",I91,0)</f>
        <v>0</v>
      </c>
      <c r="X91" s="38">
        <f>IF(AG91="0",J91,0)</f>
        <v>0</v>
      </c>
      <c r="Y91" s="32"/>
      <c r="Z91" s="38">
        <f>IF(AD91=0,J91,0)</f>
        <v>0</v>
      </c>
      <c r="AA91" s="38">
        <f>IF(AD91=15,J91,0)</f>
        <v>0</v>
      </c>
      <c r="AB91" s="38">
        <f>IF(AD91=21,J91,0)</f>
        <v>0</v>
      </c>
      <c r="AD91" s="38">
        <v>15</v>
      </c>
      <c r="AE91" s="38">
        <f>G91*0.51798606029343</f>
        <v>0</v>
      </c>
      <c r="AF91" s="38">
        <f>G91*(1-0.51798606029343)</f>
        <v>0</v>
      </c>
      <c r="AG91" s="39" t="s">
        <v>49</v>
      </c>
      <c r="AM91" s="38">
        <f>F91*AE91</f>
        <v>0</v>
      </c>
      <c r="AN91" s="38">
        <f>F91*AF91</f>
        <v>0</v>
      </c>
      <c r="AO91" s="39" t="s">
        <v>122</v>
      </c>
      <c r="AP91" s="39" t="s">
        <v>116</v>
      </c>
      <c r="AQ91" s="32" t="s">
        <v>55</v>
      </c>
      <c r="AS91" s="38">
        <f>AM91+AN91</f>
        <v>0</v>
      </c>
      <c r="AT91" s="38">
        <f>G91/(100-AU91)*100</f>
        <v>0</v>
      </c>
      <c r="AU91" s="38">
        <v>0</v>
      </c>
      <c r="AV91" s="38">
        <f>L91</f>
        <v>0.0024304</v>
      </c>
    </row>
    <row r="92" spans="4:6" ht="12.75">
      <c r="D92" s="40" t="s">
        <v>191</v>
      </c>
      <c r="F92" s="41">
        <v>3.92</v>
      </c>
    </row>
    <row r="93" spans="1:48" ht="12.75">
      <c r="A93" s="11" t="s">
        <v>196</v>
      </c>
      <c r="B93" s="11"/>
      <c r="C93" s="11" t="s">
        <v>197</v>
      </c>
      <c r="D93" s="11" t="s">
        <v>198</v>
      </c>
      <c r="E93" s="11" t="s">
        <v>114</v>
      </c>
      <c r="F93" s="38">
        <v>81.35</v>
      </c>
      <c r="G93" s="38">
        <v>0</v>
      </c>
      <c r="H93" s="38">
        <f>F93*AE93</f>
        <v>0</v>
      </c>
      <c r="I93" s="38">
        <f>J93-H93</f>
        <v>0</v>
      </c>
      <c r="J93" s="38">
        <f>F93*G93</f>
        <v>0</v>
      </c>
      <c r="K93" s="38">
        <v>0.00028</v>
      </c>
      <c r="L93" s="38">
        <f>F93*K93</f>
        <v>0.022777999999999996</v>
      </c>
      <c r="M93" s="39" t="s">
        <v>53</v>
      </c>
      <c r="P93" s="38">
        <f>IF(AG93="5",J93,0)</f>
        <v>0</v>
      </c>
      <c r="R93" s="38">
        <f>IF(AG93="1",H93,0)</f>
        <v>0</v>
      </c>
      <c r="S93" s="38">
        <f>IF(AG93="1",I93,0)</f>
        <v>0</v>
      </c>
      <c r="T93" s="38">
        <f>IF(AG93="7",H93,0)</f>
        <v>0</v>
      </c>
      <c r="U93" s="38">
        <f>IF(AG93="7",I93,0)</f>
        <v>0</v>
      </c>
      <c r="V93" s="38">
        <f>IF(AG93="2",H93,0)</f>
        <v>0</v>
      </c>
      <c r="W93" s="38">
        <f>IF(AG93="2",I93,0)</f>
        <v>0</v>
      </c>
      <c r="X93" s="38">
        <f>IF(AG93="0",J93,0)</f>
        <v>0</v>
      </c>
      <c r="Y93" s="32"/>
      <c r="Z93" s="38">
        <f>IF(AD93=0,J93,0)</f>
        <v>0</v>
      </c>
      <c r="AA93" s="38">
        <f>IF(AD93=15,J93,0)</f>
        <v>0</v>
      </c>
      <c r="AB93" s="38">
        <f>IF(AD93=21,J93,0)</f>
        <v>0</v>
      </c>
      <c r="AD93" s="38">
        <v>15</v>
      </c>
      <c r="AE93" s="38">
        <f>G93*0.569235668789809</f>
        <v>0</v>
      </c>
      <c r="AF93" s="38">
        <f>G93*(1-0.569235668789809)</f>
        <v>0</v>
      </c>
      <c r="AG93" s="39" t="s">
        <v>49</v>
      </c>
      <c r="AM93" s="38">
        <f>F93*AE93</f>
        <v>0</v>
      </c>
      <c r="AN93" s="38">
        <f>F93*AF93</f>
        <v>0</v>
      </c>
      <c r="AO93" s="39" t="s">
        <v>122</v>
      </c>
      <c r="AP93" s="39" t="s">
        <v>116</v>
      </c>
      <c r="AQ93" s="32" t="s">
        <v>55</v>
      </c>
      <c r="AS93" s="38">
        <f>AM93+AN93</f>
        <v>0</v>
      </c>
      <c r="AT93" s="38">
        <f>G93/(100-AU93)*100</f>
        <v>0</v>
      </c>
      <c r="AU93" s="38">
        <v>0</v>
      </c>
      <c r="AV93" s="38">
        <f>L93</f>
        <v>0.022777999999999996</v>
      </c>
    </row>
    <row r="94" spans="4:6" ht="12.75">
      <c r="D94" s="40" t="s">
        <v>199</v>
      </c>
      <c r="F94" s="41">
        <v>81.35</v>
      </c>
    </row>
    <row r="95" spans="1:48" ht="12.75">
      <c r="A95" s="11" t="s">
        <v>200</v>
      </c>
      <c r="B95" s="11"/>
      <c r="C95" s="11" t="s">
        <v>201</v>
      </c>
      <c r="D95" s="11" t="s">
        <v>202</v>
      </c>
      <c r="E95" s="11" t="s">
        <v>81</v>
      </c>
      <c r="F95" s="38">
        <v>645.332</v>
      </c>
      <c r="G95" s="38">
        <v>0</v>
      </c>
      <c r="H95" s="38">
        <f>F95*AE95</f>
        <v>0</v>
      </c>
      <c r="I95" s="38">
        <f>J95-H95</f>
        <v>0</v>
      </c>
      <c r="J95" s="38">
        <f>F95*G95</f>
        <v>0</v>
      </c>
      <c r="K95" s="38">
        <v>0.01355</v>
      </c>
      <c r="L95" s="38">
        <f>F95*K95</f>
        <v>8.744248599999999</v>
      </c>
      <c r="M95" s="39" t="s">
        <v>53</v>
      </c>
      <c r="P95" s="38">
        <f>IF(AG95="5",J95,0)</f>
        <v>0</v>
      </c>
      <c r="R95" s="38">
        <f>IF(AG95="1",H95,0)</f>
        <v>0</v>
      </c>
      <c r="S95" s="38">
        <f>IF(AG95="1",I95,0)</f>
        <v>0</v>
      </c>
      <c r="T95" s="38">
        <f>IF(AG95="7",H95,0)</f>
        <v>0</v>
      </c>
      <c r="U95" s="38">
        <f>IF(AG95="7",I95,0)</f>
        <v>0</v>
      </c>
      <c r="V95" s="38">
        <f>IF(AG95="2",H95,0)</f>
        <v>0</v>
      </c>
      <c r="W95" s="38">
        <f>IF(AG95="2",I95,0)</f>
        <v>0</v>
      </c>
      <c r="X95" s="38">
        <f>IF(AG95="0",J95,0)</f>
        <v>0</v>
      </c>
      <c r="Y95" s="32"/>
      <c r="Z95" s="38">
        <f>IF(AD95=0,J95,0)</f>
        <v>0</v>
      </c>
      <c r="AA95" s="38">
        <f>IF(AD95=15,J95,0)</f>
        <v>0</v>
      </c>
      <c r="AB95" s="38">
        <f>IF(AD95=21,J95,0)</f>
        <v>0</v>
      </c>
      <c r="AD95" s="38">
        <v>15</v>
      </c>
      <c r="AE95" s="38">
        <f>G95*0.622870533148172</f>
        <v>0</v>
      </c>
      <c r="AF95" s="38">
        <f>G95*(1-0.622870533148172)</f>
        <v>0</v>
      </c>
      <c r="AG95" s="39" t="s">
        <v>49</v>
      </c>
      <c r="AM95" s="38">
        <f>F95*AE95</f>
        <v>0</v>
      </c>
      <c r="AN95" s="38">
        <f>F95*AF95</f>
        <v>0</v>
      </c>
      <c r="AO95" s="39" t="s">
        <v>122</v>
      </c>
      <c r="AP95" s="39" t="s">
        <v>116</v>
      </c>
      <c r="AQ95" s="32" t="s">
        <v>55</v>
      </c>
      <c r="AS95" s="38">
        <f>AM95+AN95</f>
        <v>0</v>
      </c>
      <c r="AT95" s="38">
        <f>G95/(100-AU95)*100</f>
        <v>0</v>
      </c>
      <c r="AU95" s="38">
        <v>0</v>
      </c>
      <c r="AV95" s="38">
        <f>L95</f>
        <v>8.744248599999999</v>
      </c>
    </row>
    <row r="96" spans="4:6" ht="12.75">
      <c r="D96" s="40" t="s">
        <v>203</v>
      </c>
      <c r="F96" s="41">
        <v>645.332</v>
      </c>
    </row>
    <row r="97" spans="4:6" ht="12.75">
      <c r="D97" s="40" t="s">
        <v>204</v>
      </c>
      <c r="F97" s="41">
        <v>0</v>
      </c>
    </row>
    <row r="98" spans="4:6" ht="12.75">
      <c r="D98" s="40" t="s">
        <v>205</v>
      </c>
      <c r="F98" s="41">
        <v>0</v>
      </c>
    </row>
    <row r="99" spans="4:6" ht="12.75">
      <c r="D99" s="40" t="s">
        <v>206</v>
      </c>
      <c r="F99" s="41">
        <v>0</v>
      </c>
    </row>
    <row r="100" spans="1:48" ht="12.75">
      <c r="A100" s="11" t="s">
        <v>207</v>
      </c>
      <c r="B100" s="11"/>
      <c r="C100" s="11" t="s">
        <v>208</v>
      </c>
      <c r="D100" s="11" t="s">
        <v>209</v>
      </c>
      <c r="E100" s="11" t="s">
        <v>99</v>
      </c>
      <c r="F100" s="38">
        <v>19</v>
      </c>
      <c r="G100" s="38">
        <v>0</v>
      </c>
      <c r="H100" s="38">
        <f>F100*AE100</f>
        <v>0</v>
      </c>
      <c r="I100" s="38">
        <f>J100-H100</f>
        <v>0</v>
      </c>
      <c r="J100" s="38">
        <f>F100*G100</f>
        <v>0</v>
      </c>
      <c r="K100" s="38">
        <v>0.00195</v>
      </c>
      <c r="L100" s="38">
        <f>F100*K100</f>
        <v>0.03705</v>
      </c>
      <c r="M100" s="39" t="s">
        <v>53</v>
      </c>
      <c r="P100" s="38">
        <f>IF(AG100="5",J100,0)</f>
        <v>0</v>
      </c>
      <c r="R100" s="38">
        <f>IF(AG100="1",H100,0)</f>
        <v>0</v>
      </c>
      <c r="S100" s="38">
        <f>IF(AG100="1",I100,0)</f>
        <v>0</v>
      </c>
      <c r="T100" s="38">
        <f>IF(AG100="7",H100,0)</f>
        <v>0</v>
      </c>
      <c r="U100" s="38">
        <f>IF(AG100="7",I100,0)</f>
        <v>0</v>
      </c>
      <c r="V100" s="38">
        <f>IF(AG100="2",H100,0)</f>
        <v>0</v>
      </c>
      <c r="W100" s="38">
        <f>IF(AG100="2",I100,0)</f>
        <v>0</v>
      </c>
      <c r="X100" s="38">
        <f>IF(AG100="0",J100,0)</f>
        <v>0</v>
      </c>
      <c r="Y100" s="32"/>
      <c r="Z100" s="38">
        <f>IF(AD100=0,J100,0)</f>
        <v>0</v>
      </c>
      <c r="AA100" s="38">
        <f>IF(AD100=15,J100,0)</f>
        <v>0</v>
      </c>
      <c r="AB100" s="38">
        <f>IF(AD100=21,J100,0)</f>
        <v>0</v>
      </c>
      <c r="AD100" s="38">
        <v>15</v>
      </c>
      <c r="AE100" s="38">
        <f>G100*0.226931073084919</f>
        <v>0</v>
      </c>
      <c r="AF100" s="38">
        <f>G100*(1-0.226931073084919)</f>
        <v>0</v>
      </c>
      <c r="AG100" s="39" t="s">
        <v>49</v>
      </c>
      <c r="AM100" s="38">
        <f>F100*AE100</f>
        <v>0</v>
      </c>
      <c r="AN100" s="38">
        <f>F100*AF100</f>
        <v>0</v>
      </c>
      <c r="AO100" s="39" t="s">
        <v>122</v>
      </c>
      <c r="AP100" s="39" t="s">
        <v>116</v>
      </c>
      <c r="AQ100" s="32" t="s">
        <v>55</v>
      </c>
      <c r="AS100" s="38">
        <f>AM100+AN100</f>
        <v>0</v>
      </c>
      <c r="AT100" s="38">
        <f>G100/(100-AU100)*100</f>
        <v>0</v>
      </c>
      <c r="AU100" s="38">
        <v>0</v>
      </c>
      <c r="AV100" s="38">
        <f>L100</f>
        <v>0.03705</v>
      </c>
    </row>
    <row r="101" spans="4:6" ht="12.75">
      <c r="D101" s="40" t="s">
        <v>210</v>
      </c>
      <c r="F101" s="41">
        <v>19</v>
      </c>
    </row>
    <row r="102" spans="1:48" ht="12.75">
      <c r="A102" s="11" t="s">
        <v>211</v>
      </c>
      <c r="B102" s="11"/>
      <c r="C102" s="11" t="s">
        <v>212</v>
      </c>
      <c r="D102" s="11" t="s">
        <v>213</v>
      </c>
      <c r="E102" s="11" t="s">
        <v>81</v>
      </c>
      <c r="F102" s="38">
        <v>63.944</v>
      </c>
      <c r="G102" s="38">
        <v>0</v>
      </c>
      <c r="H102" s="38">
        <f>F102*AE102</f>
        <v>0</v>
      </c>
      <c r="I102" s="38">
        <f>J102-H102</f>
        <v>0</v>
      </c>
      <c r="J102" s="38">
        <f>F102*G102</f>
        <v>0</v>
      </c>
      <c r="K102" s="38">
        <v>0.00271</v>
      </c>
      <c r="L102" s="38">
        <f>F102*K102</f>
        <v>0.17328824</v>
      </c>
      <c r="M102" s="39" t="s">
        <v>53</v>
      </c>
      <c r="P102" s="38">
        <f>IF(AG102="5",J102,0)</f>
        <v>0</v>
      </c>
      <c r="R102" s="38">
        <f>IF(AG102="1",H102,0)</f>
        <v>0</v>
      </c>
      <c r="S102" s="38">
        <f>IF(AG102="1",I102,0)</f>
        <v>0</v>
      </c>
      <c r="T102" s="38">
        <f>IF(AG102="7",H102,0)</f>
        <v>0</v>
      </c>
      <c r="U102" s="38">
        <f>IF(AG102="7",I102,0)</f>
        <v>0</v>
      </c>
      <c r="V102" s="38">
        <f>IF(AG102="2",H102,0)</f>
        <v>0</v>
      </c>
      <c r="W102" s="38">
        <f>IF(AG102="2",I102,0)</f>
        <v>0</v>
      </c>
      <c r="X102" s="38">
        <f>IF(AG102="0",J102,0)</f>
        <v>0</v>
      </c>
      <c r="Y102" s="32"/>
      <c r="Z102" s="38">
        <f>IF(AD102=0,J102,0)</f>
        <v>0</v>
      </c>
      <c r="AA102" s="38">
        <f>IF(AD102=15,J102,0)</f>
        <v>0</v>
      </c>
      <c r="AB102" s="38">
        <f>IF(AD102=21,J102,0)</f>
        <v>0</v>
      </c>
      <c r="AD102" s="38">
        <v>15</v>
      </c>
      <c r="AE102" s="38">
        <f>G102*0.442763763770164</f>
        <v>0</v>
      </c>
      <c r="AF102" s="38">
        <f>G102*(1-0.442763763770164)</f>
        <v>0</v>
      </c>
      <c r="AG102" s="39" t="s">
        <v>49</v>
      </c>
      <c r="AM102" s="38">
        <f>F102*AE102</f>
        <v>0</v>
      </c>
      <c r="AN102" s="38">
        <f>F102*AF102</f>
        <v>0</v>
      </c>
      <c r="AO102" s="39" t="s">
        <v>122</v>
      </c>
      <c r="AP102" s="39" t="s">
        <v>116</v>
      </c>
      <c r="AQ102" s="32" t="s">
        <v>55</v>
      </c>
      <c r="AS102" s="38">
        <f>AM102+AN102</f>
        <v>0</v>
      </c>
      <c r="AT102" s="38">
        <f>G102/(100-AU102)*100</f>
        <v>0</v>
      </c>
      <c r="AU102" s="38">
        <v>0</v>
      </c>
      <c r="AV102" s="38">
        <f>L102</f>
        <v>0.17328824</v>
      </c>
    </row>
    <row r="103" spans="4:6" ht="12.75">
      <c r="D103" s="40" t="s">
        <v>214</v>
      </c>
      <c r="F103" s="41">
        <v>24.405</v>
      </c>
    </row>
    <row r="104" spans="4:6" ht="12.75">
      <c r="D104" s="40" t="s">
        <v>215</v>
      </c>
      <c r="F104" s="41">
        <v>22.767</v>
      </c>
    </row>
    <row r="105" spans="4:6" ht="12.75">
      <c r="D105" s="40" t="s">
        <v>216</v>
      </c>
      <c r="F105" s="41">
        <v>3.92</v>
      </c>
    </row>
    <row r="106" spans="4:6" ht="12.75">
      <c r="D106" s="40" t="s">
        <v>217</v>
      </c>
      <c r="F106" s="41">
        <v>12.852</v>
      </c>
    </row>
    <row r="107" spans="1:48" ht="12.75">
      <c r="A107" s="11" t="s">
        <v>218</v>
      </c>
      <c r="B107" s="11"/>
      <c r="C107" s="11" t="s">
        <v>219</v>
      </c>
      <c r="D107" s="11" t="s">
        <v>220</v>
      </c>
      <c r="E107" s="11" t="s">
        <v>81</v>
      </c>
      <c r="F107" s="38">
        <v>4.448</v>
      </c>
      <c r="G107" s="38">
        <v>0</v>
      </c>
      <c r="H107" s="38">
        <f>F107*AE107</f>
        <v>0</v>
      </c>
      <c r="I107" s="38">
        <f>J107-H107</f>
        <v>0</v>
      </c>
      <c r="J107" s="38">
        <f>F107*G107</f>
        <v>0</v>
      </c>
      <c r="K107" s="38">
        <v>0.03501</v>
      </c>
      <c r="L107" s="38">
        <f>F107*K107</f>
        <v>0.15572448</v>
      </c>
      <c r="M107" s="39" t="s">
        <v>53</v>
      </c>
      <c r="P107" s="38">
        <f>IF(AG107="5",J107,0)</f>
        <v>0</v>
      </c>
      <c r="R107" s="38">
        <f>IF(AG107="1",H107,0)</f>
        <v>0</v>
      </c>
      <c r="S107" s="38">
        <f>IF(AG107="1",I107,0)</f>
        <v>0</v>
      </c>
      <c r="T107" s="38">
        <f>IF(AG107="7",H107,0)</f>
        <v>0</v>
      </c>
      <c r="U107" s="38">
        <f>IF(AG107="7",I107,0)</f>
        <v>0</v>
      </c>
      <c r="V107" s="38">
        <f>IF(AG107="2",H107,0)</f>
        <v>0</v>
      </c>
      <c r="W107" s="38">
        <f>IF(AG107="2",I107,0)</f>
        <v>0</v>
      </c>
      <c r="X107" s="38">
        <f>IF(AG107="0",J107,0)</f>
        <v>0</v>
      </c>
      <c r="Y107" s="32"/>
      <c r="Z107" s="38">
        <f>IF(AD107=0,J107,0)</f>
        <v>0</v>
      </c>
      <c r="AA107" s="38">
        <f>IF(AD107=15,J107,0)</f>
        <v>0</v>
      </c>
      <c r="AB107" s="38">
        <f>IF(AD107=21,J107,0)</f>
        <v>0</v>
      </c>
      <c r="AD107" s="38">
        <v>15</v>
      </c>
      <c r="AE107" s="38">
        <f>G107*0.258376711876648</f>
        <v>0</v>
      </c>
      <c r="AF107" s="38">
        <f>G107*(1-0.258376711876648)</f>
        <v>0</v>
      </c>
      <c r="AG107" s="39" t="s">
        <v>49</v>
      </c>
      <c r="AM107" s="38">
        <f>F107*AE107</f>
        <v>0</v>
      </c>
      <c r="AN107" s="38">
        <f>F107*AF107</f>
        <v>0</v>
      </c>
      <c r="AO107" s="39" t="s">
        <v>122</v>
      </c>
      <c r="AP107" s="39" t="s">
        <v>116</v>
      </c>
      <c r="AQ107" s="32" t="s">
        <v>55</v>
      </c>
      <c r="AS107" s="38">
        <f>AM107+AN107</f>
        <v>0</v>
      </c>
      <c r="AT107" s="38">
        <f>G107/(100-AU107)*100</f>
        <v>0</v>
      </c>
      <c r="AU107" s="38">
        <v>0</v>
      </c>
      <c r="AV107" s="38">
        <f>L107</f>
        <v>0.15572448</v>
      </c>
    </row>
    <row r="108" spans="4:6" ht="12.75">
      <c r="D108" s="40" t="s">
        <v>221</v>
      </c>
      <c r="F108" s="41">
        <v>4.448</v>
      </c>
    </row>
    <row r="109" spans="1:37" ht="12.75">
      <c r="A109" s="42"/>
      <c r="B109" s="43"/>
      <c r="C109" s="43" t="s">
        <v>222</v>
      </c>
      <c r="D109" s="43" t="s">
        <v>223</v>
      </c>
      <c r="E109" s="42" t="s">
        <v>4</v>
      </c>
      <c r="F109" s="42" t="s">
        <v>4</v>
      </c>
      <c r="G109" s="42" t="s">
        <v>4</v>
      </c>
      <c r="H109" s="37">
        <f>SUM(H110:H114)</f>
        <v>0</v>
      </c>
      <c r="I109" s="37">
        <f>SUM(I110:I114)</f>
        <v>0</v>
      </c>
      <c r="J109" s="37">
        <f>H109+I109</f>
        <v>0</v>
      </c>
      <c r="K109" s="32"/>
      <c r="L109" s="37">
        <f>SUM(L110:L114)</f>
        <v>2.3711852500000004</v>
      </c>
      <c r="M109" s="32"/>
      <c r="Y109" s="32"/>
      <c r="AI109" s="37">
        <f>SUM(Z110:Z114)</f>
        <v>0</v>
      </c>
      <c r="AJ109" s="37">
        <f>SUM(AA110:AA114)</f>
        <v>0</v>
      </c>
      <c r="AK109" s="37">
        <f>SUM(AB110:AB114)</f>
        <v>0</v>
      </c>
    </row>
    <row r="110" spans="1:48" ht="12.75">
      <c r="A110" s="11" t="s">
        <v>88</v>
      </c>
      <c r="B110" s="11"/>
      <c r="C110" s="11" t="s">
        <v>224</v>
      </c>
      <c r="D110" s="11" t="s">
        <v>225</v>
      </c>
      <c r="E110" s="11" t="s">
        <v>81</v>
      </c>
      <c r="F110" s="38">
        <v>3.92</v>
      </c>
      <c r="G110" s="38">
        <v>0</v>
      </c>
      <c r="H110" s="38">
        <f>F110*AE110</f>
        <v>0</v>
      </c>
      <c r="I110" s="38">
        <f>J110-H110</f>
        <v>0</v>
      </c>
      <c r="J110" s="38">
        <f>F110*G110</f>
        <v>0</v>
      </c>
      <c r="K110" s="38">
        <v>0.095</v>
      </c>
      <c r="L110" s="38">
        <f>F110*K110</f>
        <v>0.3724</v>
      </c>
      <c r="M110" s="39" t="s">
        <v>53</v>
      </c>
      <c r="P110" s="38">
        <f>IF(AG110="5",J110,0)</f>
        <v>0</v>
      </c>
      <c r="R110" s="38">
        <f>IF(AG110="1",H110,0)</f>
        <v>0</v>
      </c>
      <c r="S110" s="38">
        <f>IF(AG110="1",I110,0)</f>
        <v>0</v>
      </c>
      <c r="T110" s="38">
        <f>IF(AG110="7",H110,0)</f>
        <v>0</v>
      </c>
      <c r="U110" s="38">
        <f>IF(AG110="7",I110,0)</f>
        <v>0</v>
      </c>
      <c r="V110" s="38">
        <f>IF(AG110="2",H110,0)</f>
        <v>0</v>
      </c>
      <c r="W110" s="38">
        <f>IF(AG110="2",I110,0)</f>
        <v>0</v>
      </c>
      <c r="X110" s="38">
        <f>IF(AG110="0",J110,0)</f>
        <v>0</v>
      </c>
      <c r="Y110" s="32"/>
      <c r="Z110" s="38">
        <f>IF(AD110=0,J110,0)</f>
        <v>0</v>
      </c>
      <c r="AA110" s="38">
        <f>IF(AD110=15,J110,0)</f>
        <v>0</v>
      </c>
      <c r="AB110" s="38">
        <f>IF(AD110=21,J110,0)</f>
        <v>0</v>
      </c>
      <c r="AD110" s="38">
        <v>15</v>
      </c>
      <c r="AE110" s="38">
        <f>G110*0.639563448175122</f>
        <v>0</v>
      </c>
      <c r="AF110" s="38">
        <f>G110*(1-0.639563448175122)</f>
        <v>0</v>
      </c>
      <c r="AG110" s="39" t="s">
        <v>49</v>
      </c>
      <c r="AM110" s="38">
        <f>F110*AE110</f>
        <v>0</v>
      </c>
      <c r="AN110" s="38">
        <f>F110*AF110</f>
        <v>0</v>
      </c>
      <c r="AO110" s="39" t="s">
        <v>226</v>
      </c>
      <c r="AP110" s="39" t="s">
        <v>116</v>
      </c>
      <c r="AQ110" s="32" t="s">
        <v>55</v>
      </c>
      <c r="AS110" s="38">
        <f>AM110+AN110</f>
        <v>0</v>
      </c>
      <c r="AT110" s="38">
        <f>G110/(100-AU110)*100</f>
        <v>0</v>
      </c>
      <c r="AU110" s="38">
        <v>0</v>
      </c>
      <c r="AV110" s="38">
        <f>L110</f>
        <v>0.3724</v>
      </c>
    </row>
    <row r="111" spans="4:6" ht="12.75">
      <c r="D111" s="40" t="s">
        <v>227</v>
      </c>
      <c r="F111" s="41">
        <v>3.92</v>
      </c>
    </row>
    <row r="112" spans="1:48" ht="12.75">
      <c r="A112" s="11" t="s">
        <v>228</v>
      </c>
      <c r="B112" s="11"/>
      <c r="C112" s="11" t="s">
        <v>229</v>
      </c>
      <c r="D112" s="11" t="s">
        <v>230</v>
      </c>
      <c r="E112" s="11" t="s">
        <v>81</v>
      </c>
      <c r="F112" s="38">
        <v>137.61</v>
      </c>
      <c r="G112" s="38">
        <v>0</v>
      </c>
      <c r="H112" s="38">
        <f>F112*AE112</f>
        <v>0</v>
      </c>
      <c r="I112" s="38">
        <f>J112-H112</f>
        <v>0</v>
      </c>
      <c r="J112" s="38">
        <f>F112*G112</f>
        <v>0</v>
      </c>
      <c r="K112" s="38">
        <v>0.0005</v>
      </c>
      <c r="L112" s="38">
        <f>F112*K112</f>
        <v>0.068805</v>
      </c>
      <c r="M112" s="39" t="s">
        <v>53</v>
      </c>
      <c r="P112" s="38">
        <f>IF(AG112="5",J112,0)</f>
        <v>0</v>
      </c>
      <c r="R112" s="38">
        <f>IF(AG112="1",H112,0)</f>
        <v>0</v>
      </c>
      <c r="S112" s="38">
        <f>IF(AG112="1",I112,0)</f>
        <v>0</v>
      </c>
      <c r="T112" s="38">
        <f>IF(AG112="7",H112,0)</f>
        <v>0</v>
      </c>
      <c r="U112" s="38">
        <f>IF(AG112="7",I112,0)</f>
        <v>0</v>
      </c>
      <c r="V112" s="38">
        <f>IF(AG112="2",H112,0)</f>
        <v>0</v>
      </c>
      <c r="W112" s="38">
        <f>IF(AG112="2",I112,0)</f>
        <v>0</v>
      </c>
      <c r="X112" s="38">
        <f>IF(AG112="0",J112,0)</f>
        <v>0</v>
      </c>
      <c r="Y112" s="32"/>
      <c r="Z112" s="38">
        <f>IF(AD112=0,J112,0)</f>
        <v>0</v>
      </c>
      <c r="AA112" s="38">
        <f>IF(AD112=15,J112,0)</f>
        <v>0</v>
      </c>
      <c r="AB112" s="38">
        <f>IF(AD112=21,J112,0)</f>
        <v>0</v>
      </c>
      <c r="AD112" s="38">
        <v>15</v>
      </c>
      <c r="AE112" s="38">
        <f>G112*0.315234144151589</f>
        <v>0</v>
      </c>
      <c r="AF112" s="38">
        <f>G112*(1-0.315234144151589)</f>
        <v>0</v>
      </c>
      <c r="AG112" s="39" t="s">
        <v>49</v>
      </c>
      <c r="AM112" s="38">
        <f>F112*AE112</f>
        <v>0</v>
      </c>
      <c r="AN112" s="38">
        <f>F112*AF112</f>
        <v>0</v>
      </c>
      <c r="AO112" s="39" t="s">
        <v>226</v>
      </c>
      <c r="AP112" s="39" t="s">
        <v>116</v>
      </c>
      <c r="AQ112" s="32" t="s">
        <v>55</v>
      </c>
      <c r="AS112" s="38">
        <f>AM112+AN112</f>
        <v>0</v>
      </c>
      <c r="AT112" s="38">
        <f>G112/(100-AU112)*100</f>
        <v>0</v>
      </c>
      <c r="AU112" s="38">
        <v>0</v>
      </c>
      <c r="AV112" s="38">
        <f>L112</f>
        <v>0.068805</v>
      </c>
    </row>
    <row r="113" spans="4:6" ht="12.75">
      <c r="D113" s="40" t="s">
        <v>231</v>
      </c>
      <c r="F113" s="41">
        <v>137.61</v>
      </c>
    </row>
    <row r="114" spans="1:48" ht="12.75">
      <c r="A114" s="11" t="s">
        <v>232</v>
      </c>
      <c r="B114" s="11"/>
      <c r="C114" s="11" t="s">
        <v>233</v>
      </c>
      <c r="D114" s="11" t="s">
        <v>234</v>
      </c>
      <c r="E114" s="11" t="s">
        <v>65</v>
      </c>
      <c r="F114" s="38">
        <v>7.01811</v>
      </c>
      <c r="G114" s="38">
        <v>0</v>
      </c>
      <c r="H114" s="38">
        <f>F114*AE114</f>
        <v>0</v>
      </c>
      <c r="I114" s="38">
        <f>J114-H114</f>
        <v>0</v>
      </c>
      <c r="J114" s="38">
        <f>F114*G114</f>
        <v>0</v>
      </c>
      <c r="K114" s="38">
        <v>0.275</v>
      </c>
      <c r="L114" s="38">
        <f>F114*K114</f>
        <v>1.9299802500000003</v>
      </c>
      <c r="M114" s="39" t="s">
        <v>53</v>
      </c>
      <c r="P114" s="38">
        <f>IF(AG114="5",J114,0)</f>
        <v>0</v>
      </c>
      <c r="R114" s="38">
        <f>IF(AG114="1",H114,0)</f>
        <v>0</v>
      </c>
      <c r="S114" s="38">
        <f>IF(AG114="1",I114,0)</f>
        <v>0</v>
      </c>
      <c r="T114" s="38">
        <f>IF(AG114="7",H114,0)</f>
        <v>0</v>
      </c>
      <c r="U114" s="38">
        <f>IF(AG114="7",I114,0)</f>
        <v>0</v>
      </c>
      <c r="V114" s="38">
        <f>IF(AG114="2",H114,0)</f>
        <v>0</v>
      </c>
      <c r="W114" s="38">
        <f>IF(AG114="2",I114,0)</f>
        <v>0</v>
      </c>
      <c r="X114" s="38">
        <f>IF(AG114="0",J114,0)</f>
        <v>0</v>
      </c>
      <c r="Y114" s="32"/>
      <c r="Z114" s="38">
        <f>IF(AD114=0,J114,0)</f>
        <v>0</v>
      </c>
      <c r="AA114" s="38">
        <f>IF(AD114=15,J114,0)</f>
        <v>0</v>
      </c>
      <c r="AB114" s="38">
        <f>IF(AD114=21,J114,0)</f>
        <v>0</v>
      </c>
      <c r="AD114" s="38">
        <v>15</v>
      </c>
      <c r="AE114" s="38">
        <f>G114*1</f>
        <v>0</v>
      </c>
      <c r="AF114" s="38">
        <f>G114*(1-1)</f>
        <v>0</v>
      </c>
      <c r="AG114" s="39" t="s">
        <v>49</v>
      </c>
      <c r="AM114" s="38">
        <f>F114*AE114</f>
        <v>0</v>
      </c>
      <c r="AN114" s="38">
        <f>F114*AF114</f>
        <v>0</v>
      </c>
      <c r="AO114" s="39" t="s">
        <v>226</v>
      </c>
      <c r="AP114" s="39" t="s">
        <v>116</v>
      </c>
      <c r="AQ114" s="32" t="s">
        <v>55</v>
      </c>
      <c r="AS114" s="38">
        <f>AM114+AN114</f>
        <v>0</v>
      </c>
      <c r="AT114" s="38">
        <f>G114/(100-AU114)*100</f>
        <v>0</v>
      </c>
      <c r="AU114" s="38">
        <v>0</v>
      </c>
      <c r="AV114" s="38">
        <f>L114</f>
        <v>1.9299802500000003</v>
      </c>
    </row>
    <row r="115" spans="4:6" ht="12.75">
      <c r="D115" s="40" t="s">
        <v>235</v>
      </c>
      <c r="F115" s="41">
        <v>6.8805</v>
      </c>
    </row>
    <row r="116" spans="4:6" ht="12.75">
      <c r="D116" s="40" t="s">
        <v>236</v>
      </c>
      <c r="F116" s="41">
        <v>0.13761</v>
      </c>
    </row>
    <row r="117" spans="1:37" ht="12.75">
      <c r="A117" s="42"/>
      <c r="B117" s="43"/>
      <c r="C117" s="43" t="s">
        <v>237</v>
      </c>
      <c r="D117" s="43" t="s">
        <v>238</v>
      </c>
      <c r="E117" s="42" t="s">
        <v>4</v>
      </c>
      <c r="F117" s="42" t="s">
        <v>4</v>
      </c>
      <c r="G117" s="42" t="s">
        <v>4</v>
      </c>
      <c r="H117" s="37">
        <f>SUM(H118:H124)</f>
        <v>0</v>
      </c>
      <c r="I117" s="37">
        <f>SUM(I118:I124)</f>
        <v>0</v>
      </c>
      <c r="J117" s="37">
        <f>H117+I117</f>
        <v>0</v>
      </c>
      <c r="K117" s="32"/>
      <c r="L117" s="37">
        <f>SUM(L118:L124)</f>
        <v>0.25609</v>
      </c>
      <c r="M117" s="32"/>
      <c r="Y117" s="32"/>
      <c r="AI117" s="37">
        <f>SUM(Z118:Z124)</f>
        <v>0</v>
      </c>
      <c r="AJ117" s="37">
        <f>SUM(AA118:AA124)</f>
        <v>0</v>
      </c>
      <c r="AK117" s="37">
        <f>SUM(AB118:AB124)</f>
        <v>0</v>
      </c>
    </row>
    <row r="118" spans="1:48" ht="12.75">
      <c r="A118" s="11" t="s">
        <v>239</v>
      </c>
      <c r="B118" s="11"/>
      <c r="C118" s="11" t="s">
        <v>240</v>
      </c>
      <c r="D118" s="11" t="s">
        <v>241</v>
      </c>
      <c r="E118" s="11" t="s">
        <v>99</v>
      </c>
      <c r="F118" s="38">
        <v>2</v>
      </c>
      <c r="G118" s="38">
        <v>0</v>
      </c>
      <c r="H118" s="38">
        <f>F118*AE118</f>
        <v>0</v>
      </c>
      <c r="I118" s="38">
        <f>J118-H118</f>
        <v>0</v>
      </c>
      <c r="J118" s="38">
        <f>F118*G118</f>
        <v>0</v>
      </c>
      <c r="K118" s="38">
        <v>0.08696</v>
      </c>
      <c r="L118" s="38">
        <f>F118*K118</f>
        <v>0.17392</v>
      </c>
      <c r="M118" s="39" t="s">
        <v>53</v>
      </c>
      <c r="P118" s="38">
        <f>IF(AG118="5",J118,0)</f>
        <v>0</v>
      </c>
      <c r="R118" s="38">
        <f>IF(AG118="1",H118,0)</f>
        <v>0</v>
      </c>
      <c r="S118" s="38">
        <f>IF(AG118="1",I118,0)</f>
        <v>0</v>
      </c>
      <c r="T118" s="38">
        <f>IF(AG118="7",H118,0)</f>
        <v>0</v>
      </c>
      <c r="U118" s="38">
        <f>IF(AG118="7",I118,0)</f>
        <v>0</v>
      </c>
      <c r="V118" s="38">
        <f>IF(AG118="2",H118,0)</f>
        <v>0</v>
      </c>
      <c r="W118" s="38">
        <f>IF(AG118="2",I118,0)</f>
        <v>0</v>
      </c>
      <c r="X118" s="38">
        <f>IF(AG118="0",J118,0)</f>
        <v>0</v>
      </c>
      <c r="Y118" s="32"/>
      <c r="Z118" s="38">
        <f>IF(AD118=0,J118,0)</f>
        <v>0</v>
      </c>
      <c r="AA118" s="38">
        <f>IF(AD118=15,J118,0)</f>
        <v>0</v>
      </c>
      <c r="AB118" s="38">
        <f>IF(AD118=21,J118,0)</f>
        <v>0</v>
      </c>
      <c r="AD118" s="38">
        <v>15</v>
      </c>
      <c r="AE118" s="38">
        <f>G118*0.965924108085846</f>
        <v>0</v>
      </c>
      <c r="AF118" s="38">
        <f>G118*(1-0.965924108085846)</f>
        <v>0</v>
      </c>
      <c r="AG118" s="39" t="s">
        <v>49</v>
      </c>
      <c r="AM118" s="38">
        <f>F118*AE118</f>
        <v>0</v>
      </c>
      <c r="AN118" s="38">
        <f>F118*AF118</f>
        <v>0</v>
      </c>
      <c r="AO118" s="39" t="s">
        <v>242</v>
      </c>
      <c r="AP118" s="39" t="s">
        <v>116</v>
      </c>
      <c r="AQ118" s="32" t="s">
        <v>55</v>
      </c>
      <c r="AS118" s="38">
        <f>AM118+AN118</f>
        <v>0</v>
      </c>
      <c r="AT118" s="38">
        <f>G118/(100-AU118)*100</f>
        <v>0</v>
      </c>
      <c r="AU118" s="38">
        <v>0</v>
      </c>
      <c r="AV118" s="38">
        <f>L118</f>
        <v>0.17392</v>
      </c>
    </row>
    <row r="119" spans="4:6" ht="12.75">
      <c r="D119" s="40" t="s">
        <v>243</v>
      </c>
      <c r="F119" s="41">
        <v>2</v>
      </c>
    </row>
    <row r="120" spans="1:48" ht="12.75">
      <c r="A120" s="11" t="s">
        <v>244</v>
      </c>
      <c r="B120" s="11"/>
      <c r="C120" s="11" t="s">
        <v>245</v>
      </c>
      <c r="D120" s="11" t="s">
        <v>246</v>
      </c>
      <c r="E120" s="11" t="s">
        <v>99</v>
      </c>
      <c r="F120" s="38">
        <v>1</v>
      </c>
      <c r="G120" s="38">
        <v>0</v>
      </c>
      <c r="H120" s="38">
        <f>F120*AE120</f>
        <v>0</v>
      </c>
      <c r="I120" s="38">
        <f>J120-H120</f>
        <v>0</v>
      </c>
      <c r="J120" s="38">
        <f>F120*G120</f>
        <v>0</v>
      </c>
      <c r="K120" s="38">
        <v>0.05661</v>
      </c>
      <c r="L120" s="38">
        <f>F120*K120</f>
        <v>0.05661</v>
      </c>
      <c r="M120" s="39" t="s">
        <v>53</v>
      </c>
      <c r="P120" s="38">
        <f>IF(AG120="5",J120,0)</f>
        <v>0</v>
      </c>
      <c r="R120" s="38">
        <f>IF(AG120="1",H120,0)</f>
        <v>0</v>
      </c>
      <c r="S120" s="38">
        <f>IF(AG120="1",I120,0)</f>
        <v>0</v>
      </c>
      <c r="T120" s="38">
        <f>IF(AG120="7",H120,0)</f>
        <v>0</v>
      </c>
      <c r="U120" s="38">
        <f>IF(AG120="7",I120,0)</f>
        <v>0</v>
      </c>
      <c r="V120" s="38">
        <f>IF(AG120="2",H120,0)</f>
        <v>0</v>
      </c>
      <c r="W120" s="38">
        <f>IF(AG120="2",I120,0)</f>
        <v>0</v>
      </c>
      <c r="X120" s="38">
        <f>IF(AG120="0",J120,0)</f>
        <v>0</v>
      </c>
      <c r="Y120" s="32"/>
      <c r="Z120" s="38">
        <f>IF(AD120=0,J120,0)</f>
        <v>0</v>
      </c>
      <c r="AA120" s="38">
        <f>IF(AD120=15,J120,0)</f>
        <v>0</v>
      </c>
      <c r="AB120" s="38">
        <f>IF(AD120=21,J120,0)</f>
        <v>0</v>
      </c>
      <c r="AD120" s="38">
        <v>15</v>
      </c>
      <c r="AE120" s="38">
        <f>G120*0.956881275841701</f>
        <v>0</v>
      </c>
      <c r="AF120" s="38">
        <f>G120*(1-0.956881275841701)</f>
        <v>0</v>
      </c>
      <c r="AG120" s="39" t="s">
        <v>49</v>
      </c>
      <c r="AM120" s="38">
        <f>F120*AE120</f>
        <v>0</v>
      </c>
      <c r="AN120" s="38">
        <f>F120*AF120</f>
        <v>0</v>
      </c>
      <c r="AO120" s="39" t="s">
        <v>242</v>
      </c>
      <c r="AP120" s="39" t="s">
        <v>116</v>
      </c>
      <c r="AQ120" s="32" t="s">
        <v>55</v>
      </c>
      <c r="AS120" s="38">
        <f>AM120+AN120</f>
        <v>0</v>
      </c>
      <c r="AT120" s="38">
        <f>G120/(100-AU120)*100</f>
        <v>0</v>
      </c>
      <c r="AU120" s="38">
        <v>0</v>
      </c>
      <c r="AV120" s="38">
        <f>L120</f>
        <v>0.05661</v>
      </c>
    </row>
    <row r="121" spans="4:6" ht="12.75">
      <c r="D121" s="40" t="s">
        <v>247</v>
      </c>
      <c r="F121" s="41">
        <v>1</v>
      </c>
    </row>
    <row r="122" spans="4:6" ht="12.75">
      <c r="D122" s="40" t="s">
        <v>248</v>
      </c>
      <c r="F122" s="41">
        <v>0</v>
      </c>
    </row>
    <row r="123" spans="4:6" ht="12.75">
      <c r="D123" s="40" t="s">
        <v>249</v>
      </c>
      <c r="F123" s="41">
        <v>0</v>
      </c>
    </row>
    <row r="124" spans="1:48" ht="12.75">
      <c r="A124" s="11" t="s">
        <v>250</v>
      </c>
      <c r="B124" s="11"/>
      <c r="C124" s="11" t="s">
        <v>251</v>
      </c>
      <c r="D124" s="11" t="s">
        <v>252</v>
      </c>
      <c r="E124" s="11" t="s">
        <v>99</v>
      </c>
      <c r="F124" s="38">
        <v>1</v>
      </c>
      <c r="G124" s="38">
        <v>0</v>
      </c>
      <c r="H124" s="38">
        <f>F124*AE124</f>
        <v>0</v>
      </c>
      <c r="I124" s="38">
        <f>J124-H124</f>
        <v>0</v>
      </c>
      <c r="J124" s="38">
        <f>F124*G124</f>
        <v>0</v>
      </c>
      <c r="K124" s="38">
        <v>0.02556</v>
      </c>
      <c r="L124" s="38">
        <f>F124*K124</f>
        <v>0.02556</v>
      </c>
      <c r="M124" s="39" t="s">
        <v>53</v>
      </c>
      <c r="P124" s="38">
        <f>IF(AG124="5",J124,0)</f>
        <v>0</v>
      </c>
      <c r="R124" s="38">
        <f>IF(AG124="1",H124,0)</f>
        <v>0</v>
      </c>
      <c r="S124" s="38">
        <f>IF(AG124="1",I124,0)</f>
        <v>0</v>
      </c>
      <c r="T124" s="38">
        <f>IF(AG124="7",H124,0)</f>
        <v>0</v>
      </c>
      <c r="U124" s="38">
        <f>IF(AG124="7",I124,0)</f>
        <v>0</v>
      </c>
      <c r="V124" s="38">
        <f>IF(AG124="2",H124,0)</f>
        <v>0</v>
      </c>
      <c r="W124" s="38">
        <f>IF(AG124="2",I124,0)</f>
        <v>0</v>
      </c>
      <c r="X124" s="38">
        <f>IF(AG124="0",J124,0)</f>
        <v>0</v>
      </c>
      <c r="Y124" s="32"/>
      <c r="Z124" s="38">
        <f>IF(AD124=0,J124,0)</f>
        <v>0</v>
      </c>
      <c r="AA124" s="38">
        <f>IF(AD124=15,J124,0)</f>
        <v>0</v>
      </c>
      <c r="AB124" s="38">
        <f>IF(AD124=21,J124,0)</f>
        <v>0</v>
      </c>
      <c r="AD124" s="38">
        <v>15</v>
      </c>
      <c r="AE124" s="38">
        <f>G124*0.92661065424058</f>
        <v>0</v>
      </c>
      <c r="AF124" s="38">
        <f>G124*(1-0.92661065424058)</f>
        <v>0</v>
      </c>
      <c r="AG124" s="39" t="s">
        <v>49</v>
      </c>
      <c r="AM124" s="38">
        <f>F124*AE124</f>
        <v>0</v>
      </c>
      <c r="AN124" s="38">
        <f>F124*AF124</f>
        <v>0</v>
      </c>
      <c r="AO124" s="39" t="s">
        <v>242</v>
      </c>
      <c r="AP124" s="39" t="s">
        <v>116</v>
      </c>
      <c r="AQ124" s="32" t="s">
        <v>55</v>
      </c>
      <c r="AS124" s="38">
        <f>AM124+AN124</f>
        <v>0</v>
      </c>
      <c r="AT124" s="38">
        <f>G124/(100-AU124)*100</f>
        <v>0</v>
      </c>
      <c r="AU124" s="38">
        <v>0</v>
      </c>
      <c r="AV124" s="38">
        <f>L124</f>
        <v>0.02556</v>
      </c>
    </row>
    <row r="125" spans="4:6" ht="12.75">
      <c r="D125" s="40" t="s">
        <v>253</v>
      </c>
      <c r="F125" s="41">
        <v>1</v>
      </c>
    </row>
    <row r="126" spans="1:37" ht="12.75">
      <c r="A126" s="42"/>
      <c r="B126" s="43"/>
      <c r="C126" s="43" t="s">
        <v>254</v>
      </c>
      <c r="D126" s="43" t="s">
        <v>255</v>
      </c>
      <c r="E126" s="42" t="s">
        <v>4</v>
      </c>
      <c r="F126" s="42" t="s">
        <v>4</v>
      </c>
      <c r="G126" s="42" t="s">
        <v>4</v>
      </c>
      <c r="H126" s="37">
        <f>SUM(H127:H151)</f>
        <v>0</v>
      </c>
      <c r="I126" s="37">
        <f>SUM(I127:I151)</f>
        <v>0</v>
      </c>
      <c r="J126" s="37">
        <f>H126+I126</f>
        <v>0</v>
      </c>
      <c r="K126" s="32"/>
      <c r="L126" s="37">
        <f>SUM(L127:L151)</f>
        <v>3.6279723099999996</v>
      </c>
      <c r="M126" s="32"/>
      <c r="Y126" s="32"/>
      <c r="AI126" s="37">
        <f>SUM(Z127:Z151)</f>
        <v>0</v>
      </c>
      <c r="AJ126" s="37">
        <f>SUM(AA127:AA151)</f>
        <v>0</v>
      </c>
      <c r="AK126" s="37">
        <f>SUM(AB127:AB151)</f>
        <v>0</v>
      </c>
    </row>
    <row r="127" spans="1:48" ht="12.75">
      <c r="A127" s="11" t="s">
        <v>256</v>
      </c>
      <c r="B127" s="11"/>
      <c r="C127" s="11" t="s">
        <v>257</v>
      </c>
      <c r="D127" s="11" t="s">
        <v>258</v>
      </c>
      <c r="E127" s="11" t="s">
        <v>81</v>
      </c>
      <c r="F127" s="38">
        <v>235.43</v>
      </c>
      <c r="G127" s="38">
        <v>0</v>
      </c>
      <c r="H127" s="38">
        <f>F127*AE127</f>
        <v>0</v>
      </c>
      <c r="I127" s="38">
        <f>J127-H127</f>
        <v>0</v>
      </c>
      <c r="J127" s="38">
        <f>F127*G127</f>
        <v>0</v>
      </c>
      <c r="K127" s="38">
        <v>0.00083</v>
      </c>
      <c r="L127" s="38">
        <f>F127*K127</f>
        <v>0.1954069</v>
      </c>
      <c r="M127" s="39" t="s">
        <v>53</v>
      </c>
      <c r="P127" s="38">
        <f>IF(AG127="5",J127,0)</f>
        <v>0</v>
      </c>
      <c r="R127" s="38">
        <f>IF(AG127="1",H127,0)</f>
        <v>0</v>
      </c>
      <c r="S127" s="38">
        <f>IF(AG127="1",I127,0)</f>
        <v>0</v>
      </c>
      <c r="T127" s="38">
        <f>IF(AG127="7",H127,0)</f>
        <v>0</v>
      </c>
      <c r="U127" s="38">
        <f>IF(AG127="7",I127,0)</f>
        <v>0</v>
      </c>
      <c r="V127" s="38">
        <f>IF(AG127="2",H127,0)</f>
        <v>0</v>
      </c>
      <c r="W127" s="38">
        <f>IF(AG127="2",I127,0)</f>
        <v>0</v>
      </c>
      <c r="X127" s="38">
        <f>IF(AG127="0",J127,0)</f>
        <v>0</v>
      </c>
      <c r="Y127" s="32"/>
      <c r="Z127" s="38">
        <f>IF(AD127=0,J127,0)</f>
        <v>0</v>
      </c>
      <c r="AA127" s="38">
        <f>IF(AD127=15,J127,0)</f>
        <v>0</v>
      </c>
      <c r="AB127" s="38">
        <f>IF(AD127=21,J127,0)</f>
        <v>0</v>
      </c>
      <c r="AD127" s="38">
        <v>15</v>
      </c>
      <c r="AE127" s="38">
        <f>G127*0.385771812080537</f>
        <v>0</v>
      </c>
      <c r="AF127" s="38">
        <f>G127*(1-0.385771812080537)</f>
        <v>0</v>
      </c>
      <c r="AG127" s="39" t="s">
        <v>84</v>
      </c>
      <c r="AM127" s="38">
        <f>F127*AE127</f>
        <v>0</v>
      </c>
      <c r="AN127" s="38">
        <f>F127*AF127</f>
        <v>0</v>
      </c>
      <c r="AO127" s="39" t="s">
        <v>259</v>
      </c>
      <c r="AP127" s="39" t="s">
        <v>260</v>
      </c>
      <c r="AQ127" s="32" t="s">
        <v>55</v>
      </c>
      <c r="AS127" s="38">
        <f>AM127+AN127</f>
        <v>0</v>
      </c>
      <c r="AT127" s="38">
        <f>G127/(100-AU127)*100</f>
        <v>0</v>
      </c>
      <c r="AU127" s="38">
        <v>0</v>
      </c>
      <c r="AV127" s="38">
        <f>L127</f>
        <v>0.1954069</v>
      </c>
    </row>
    <row r="128" spans="4:6" ht="12.75">
      <c r="D128" s="40" t="s">
        <v>261</v>
      </c>
      <c r="F128" s="41">
        <v>90.81</v>
      </c>
    </row>
    <row r="129" spans="4:6" ht="12.75">
      <c r="D129" s="40" t="s">
        <v>262</v>
      </c>
      <c r="F129" s="41">
        <v>61.45</v>
      </c>
    </row>
    <row r="130" spans="4:6" ht="12.75">
      <c r="D130" s="40" t="s">
        <v>263</v>
      </c>
      <c r="F130" s="41">
        <v>79.23</v>
      </c>
    </row>
    <row r="131" spans="4:6" ht="12.75">
      <c r="D131" s="40" t="s">
        <v>264</v>
      </c>
      <c r="F131" s="41">
        <v>3.94</v>
      </c>
    </row>
    <row r="132" spans="1:48" ht="12.75">
      <c r="A132" s="11" t="s">
        <v>265</v>
      </c>
      <c r="B132" s="11"/>
      <c r="C132" s="11" t="s">
        <v>266</v>
      </c>
      <c r="D132" s="11" t="s">
        <v>267</v>
      </c>
      <c r="E132" s="11" t="s">
        <v>81</v>
      </c>
      <c r="F132" s="38">
        <v>254.2644</v>
      </c>
      <c r="G132" s="38">
        <v>0</v>
      </c>
      <c r="H132" s="38">
        <f>F132*AE132</f>
        <v>0</v>
      </c>
      <c r="I132" s="38">
        <f>J132-H132</f>
        <v>0</v>
      </c>
      <c r="J132" s="38">
        <f>F132*G132</f>
        <v>0</v>
      </c>
      <c r="K132" s="38">
        <v>0.006</v>
      </c>
      <c r="L132" s="38">
        <f>F132*K132</f>
        <v>1.5255864</v>
      </c>
      <c r="M132" s="39" t="s">
        <v>53</v>
      </c>
      <c r="P132" s="38">
        <f>IF(AG132="5",J132,0)</f>
        <v>0</v>
      </c>
      <c r="R132" s="38">
        <f>IF(AG132="1",H132,0)</f>
        <v>0</v>
      </c>
      <c r="S132" s="38">
        <f>IF(AG132="1",I132,0)</f>
        <v>0</v>
      </c>
      <c r="T132" s="38">
        <f>IF(AG132="7",H132,0)</f>
        <v>0</v>
      </c>
      <c r="U132" s="38">
        <f>IF(AG132="7",I132,0)</f>
        <v>0</v>
      </c>
      <c r="V132" s="38">
        <f>IF(AG132="2",H132,0)</f>
        <v>0</v>
      </c>
      <c r="W132" s="38">
        <f>IF(AG132="2",I132,0)</f>
        <v>0</v>
      </c>
      <c r="X132" s="38">
        <f>IF(AG132="0",J132,0)</f>
        <v>0</v>
      </c>
      <c r="Y132" s="32"/>
      <c r="Z132" s="38">
        <f>IF(AD132=0,J132,0)</f>
        <v>0</v>
      </c>
      <c r="AA132" s="38">
        <f>IF(AD132=15,J132,0)</f>
        <v>0</v>
      </c>
      <c r="AB132" s="38">
        <f>IF(AD132=21,J132,0)</f>
        <v>0</v>
      </c>
      <c r="AD132" s="38">
        <v>15</v>
      </c>
      <c r="AE132" s="38">
        <f>G132*1</f>
        <v>0</v>
      </c>
      <c r="AF132" s="38">
        <f>G132*(1-1)</f>
        <v>0</v>
      </c>
      <c r="AG132" s="39" t="s">
        <v>84</v>
      </c>
      <c r="AM132" s="38">
        <f>F132*AE132</f>
        <v>0</v>
      </c>
      <c r="AN132" s="38">
        <f>F132*AF132</f>
        <v>0</v>
      </c>
      <c r="AO132" s="39" t="s">
        <v>259</v>
      </c>
      <c r="AP132" s="39" t="s">
        <v>260</v>
      </c>
      <c r="AQ132" s="32" t="s">
        <v>55</v>
      </c>
      <c r="AS132" s="38">
        <f>AM132+AN132</f>
        <v>0</v>
      </c>
      <c r="AT132" s="38">
        <f>G132/(100-AU132)*100</f>
        <v>0</v>
      </c>
      <c r="AU132" s="38">
        <v>0</v>
      </c>
      <c r="AV132" s="38">
        <f>L132</f>
        <v>1.5255864</v>
      </c>
    </row>
    <row r="133" spans="4:6" ht="12.75">
      <c r="D133" s="44" t="s">
        <v>268</v>
      </c>
      <c r="F133" s="41">
        <v>235.43</v>
      </c>
    </row>
    <row r="134" spans="4:6" ht="12.75">
      <c r="D134" s="44" t="s">
        <v>269</v>
      </c>
      <c r="F134" s="41">
        <v>18.8344</v>
      </c>
    </row>
    <row r="135" spans="1:48" ht="12.75">
      <c r="A135" s="11" t="s">
        <v>270</v>
      </c>
      <c r="B135" s="11"/>
      <c r="C135" s="11" t="s">
        <v>271</v>
      </c>
      <c r="D135" s="11" t="s">
        <v>272</v>
      </c>
      <c r="E135" s="11" t="s">
        <v>81</v>
      </c>
      <c r="F135" s="38">
        <v>31.576</v>
      </c>
      <c r="G135" s="38">
        <v>0</v>
      </c>
      <c r="H135" s="38">
        <f>F135*AE135</f>
        <v>0</v>
      </c>
      <c r="I135" s="38">
        <f>J135-H135</f>
        <v>0</v>
      </c>
      <c r="J135" s="38">
        <f>F135*G135</f>
        <v>0</v>
      </c>
      <c r="K135" s="38">
        <v>0.00294</v>
      </c>
      <c r="L135" s="38">
        <f>F135*K135</f>
        <v>0.09283344</v>
      </c>
      <c r="M135" s="39" t="s">
        <v>53</v>
      </c>
      <c r="P135" s="38">
        <f>IF(AG135="5",J135,0)</f>
        <v>0</v>
      </c>
      <c r="R135" s="38">
        <f>IF(AG135="1",H135,0)</f>
        <v>0</v>
      </c>
      <c r="S135" s="38">
        <f>IF(AG135="1",I135,0)</f>
        <v>0</v>
      </c>
      <c r="T135" s="38">
        <f>IF(AG135="7",H135,0)</f>
        <v>0</v>
      </c>
      <c r="U135" s="38">
        <f>IF(AG135="7",I135,0)</f>
        <v>0</v>
      </c>
      <c r="V135" s="38">
        <f>IF(AG135="2",H135,0)</f>
        <v>0</v>
      </c>
      <c r="W135" s="38">
        <f>IF(AG135="2",I135,0)</f>
        <v>0</v>
      </c>
      <c r="X135" s="38">
        <f>IF(AG135="0",J135,0)</f>
        <v>0</v>
      </c>
      <c r="Y135" s="32"/>
      <c r="Z135" s="38">
        <f>IF(AD135=0,J135,0)</f>
        <v>0</v>
      </c>
      <c r="AA135" s="38">
        <f>IF(AD135=15,J135,0)</f>
        <v>0</v>
      </c>
      <c r="AB135" s="38">
        <f>IF(AD135=21,J135,0)</f>
        <v>0</v>
      </c>
      <c r="AD135" s="38">
        <v>15</v>
      </c>
      <c r="AE135" s="38">
        <f>G135*0.83902793274595</f>
        <v>0</v>
      </c>
      <c r="AF135" s="38">
        <f>G135*(1-0.83902793274595)</f>
        <v>0</v>
      </c>
      <c r="AG135" s="39" t="s">
        <v>84</v>
      </c>
      <c r="AM135" s="38">
        <f>F135*AE135</f>
        <v>0</v>
      </c>
      <c r="AN135" s="38">
        <f>F135*AF135</f>
        <v>0</v>
      </c>
      <c r="AO135" s="39" t="s">
        <v>259</v>
      </c>
      <c r="AP135" s="39" t="s">
        <v>260</v>
      </c>
      <c r="AQ135" s="32" t="s">
        <v>55</v>
      </c>
      <c r="AS135" s="38">
        <f>AM135+AN135</f>
        <v>0</v>
      </c>
      <c r="AT135" s="38">
        <f>G135/(100-AU135)*100</f>
        <v>0</v>
      </c>
      <c r="AU135" s="38">
        <v>0</v>
      </c>
      <c r="AV135" s="38">
        <f>L135</f>
        <v>0.09283344</v>
      </c>
    </row>
    <row r="136" spans="4:6" ht="12.75">
      <c r="D136" s="40" t="s">
        <v>273</v>
      </c>
      <c r="F136" s="41">
        <v>6.9</v>
      </c>
    </row>
    <row r="137" spans="4:6" ht="12.75">
      <c r="D137" s="40" t="s">
        <v>274</v>
      </c>
      <c r="F137" s="41">
        <v>24.676</v>
      </c>
    </row>
    <row r="138" spans="1:48" ht="12.75">
      <c r="A138" s="11" t="s">
        <v>275</v>
      </c>
      <c r="B138" s="11"/>
      <c r="C138" s="11" t="s">
        <v>276</v>
      </c>
      <c r="D138" s="11" t="s">
        <v>277</v>
      </c>
      <c r="E138" s="11" t="s">
        <v>81</v>
      </c>
      <c r="F138" s="38">
        <v>278.675</v>
      </c>
      <c r="G138" s="38">
        <v>0</v>
      </c>
      <c r="H138" s="38">
        <f>F138*AE138</f>
        <v>0</v>
      </c>
      <c r="I138" s="38">
        <f>J138-H138</f>
        <v>0</v>
      </c>
      <c r="J138" s="38">
        <f>F138*G138</f>
        <v>0</v>
      </c>
      <c r="K138" s="38">
        <v>0</v>
      </c>
      <c r="L138" s="38">
        <f>F138*K138</f>
        <v>0</v>
      </c>
      <c r="M138" s="39" t="s">
        <v>53</v>
      </c>
      <c r="P138" s="38">
        <f>IF(AG138="5",J138,0)</f>
        <v>0</v>
      </c>
      <c r="R138" s="38">
        <f>IF(AG138="1",H138,0)</f>
        <v>0</v>
      </c>
      <c r="S138" s="38">
        <f>IF(AG138="1",I138,0)</f>
        <v>0</v>
      </c>
      <c r="T138" s="38">
        <f>IF(AG138="7",H138,0)</f>
        <v>0</v>
      </c>
      <c r="U138" s="38">
        <f>IF(AG138="7",I138,0)</f>
        <v>0</v>
      </c>
      <c r="V138" s="38">
        <f>IF(AG138="2",H138,0)</f>
        <v>0</v>
      </c>
      <c r="W138" s="38">
        <f>IF(AG138="2",I138,0)</f>
        <v>0</v>
      </c>
      <c r="X138" s="38">
        <f>IF(AG138="0",J138,0)</f>
        <v>0</v>
      </c>
      <c r="Y138" s="32"/>
      <c r="Z138" s="38">
        <f>IF(AD138=0,J138,0)</f>
        <v>0</v>
      </c>
      <c r="AA138" s="38">
        <f>IF(AD138=15,J138,0)</f>
        <v>0</v>
      </c>
      <c r="AB138" s="38">
        <f>IF(AD138=21,J138,0)</f>
        <v>0</v>
      </c>
      <c r="AD138" s="38">
        <v>15</v>
      </c>
      <c r="AE138" s="38">
        <f>G138*0</f>
        <v>0</v>
      </c>
      <c r="AF138" s="38">
        <f>G138*(1-0)</f>
        <v>0</v>
      </c>
      <c r="AG138" s="39" t="s">
        <v>84</v>
      </c>
      <c r="AM138" s="38">
        <f>F138*AE138</f>
        <v>0</v>
      </c>
      <c r="AN138" s="38">
        <f>F138*AF138</f>
        <v>0</v>
      </c>
      <c r="AO138" s="39" t="s">
        <v>259</v>
      </c>
      <c r="AP138" s="39" t="s">
        <v>260</v>
      </c>
      <c r="AQ138" s="32" t="s">
        <v>55</v>
      </c>
      <c r="AS138" s="38">
        <f>AM138+AN138</f>
        <v>0</v>
      </c>
      <c r="AT138" s="38">
        <f>G138/(100-AU138)*100</f>
        <v>0</v>
      </c>
      <c r="AU138" s="38">
        <v>0</v>
      </c>
      <c r="AV138" s="38">
        <f>L138</f>
        <v>0</v>
      </c>
    </row>
    <row r="139" spans="4:6" ht="12.75">
      <c r="D139" s="40" t="s">
        <v>278</v>
      </c>
      <c r="F139" s="41">
        <v>123.75</v>
      </c>
    </row>
    <row r="140" spans="4:6" ht="12.75">
      <c r="D140" s="40" t="s">
        <v>279</v>
      </c>
      <c r="F140" s="41">
        <v>136.61</v>
      </c>
    </row>
    <row r="141" spans="4:6" ht="12.75">
      <c r="D141" s="40" t="s">
        <v>280</v>
      </c>
      <c r="F141" s="41">
        <v>18.315</v>
      </c>
    </row>
    <row r="142" spans="1:48" ht="12.75">
      <c r="A142" s="11" t="s">
        <v>281</v>
      </c>
      <c r="B142" s="11"/>
      <c r="C142" s="11" t="s">
        <v>282</v>
      </c>
      <c r="D142" s="11" t="s">
        <v>283</v>
      </c>
      <c r="E142" s="11" t="s">
        <v>81</v>
      </c>
      <c r="F142" s="38">
        <v>531.1344</v>
      </c>
      <c r="G142" s="38">
        <v>0</v>
      </c>
      <c r="H142" s="38">
        <f>F142*AE142</f>
        <v>0</v>
      </c>
      <c r="I142" s="38">
        <f>J142-H142</f>
        <v>0</v>
      </c>
      <c r="J142" s="38">
        <f>F142*G142</f>
        <v>0</v>
      </c>
      <c r="K142" s="38">
        <v>0.003</v>
      </c>
      <c r="L142" s="38">
        <f>F142*K142</f>
        <v>1.5934032</v>
      </c>
      <c r="M142" s="39" t="s">
        <v>53</v>
      </c>
      <c r="P142" s="38">
        <f>IF(AG142="5",J142,0)</f>
        <v>0</v>
      </c>
      <c r="R142" s="38">
        <f>IF(AG142="1",H142,0)</f>
        <v>0</v>
      </c>
      <c r="S142" s="38">
        <f>IF(AG142="1",I142,0)</f>
        <v>0</v>
      </c>
      <c r="T142" s="38">
        <f>IF(AG142="7",H142,0)</f>
        <v>0</v>
      </c>
      <c r="U142" s="38">
        <f>IF(AG142="7",I142,0)</f>
        <v>0</v>
      </c>
      <c r="V142" s="38">
        <f>IF(AG142="2",H142,0)</f>
        <v>0</v>
      </c>
      <c r="W142" s="38">
        <f>IF(AG142="2",I142,0)</f>
        <v>0</v>
      </c>
      <c r="X142" s="38">
        <f>IF(AG142="0",J142,0)</f>
        <v>0</v>
      </c>
      <c r="Y142" s="32"/>
      <c r="Z142" s="38">
        <f>IF(AD142=0,J142,0)</f>
        <v>0</v>
      </c>
      <c r="AA142" s="38">
        <f>IF(AD142=15,J142,0)</f>
        <v>0</v>
      </c>
      <c r="AB142" s="38">
        <f>IF(AD142=21,J142,0)</f>
        <v>0</v>
      </c>
      <c r="AD142" s="38">
        <v>15</v>
      </c>
      <c r="AE142" s="38">
        <f>G142*1</f>
        <v>0</v>
      </c>
      <c r="AF142" s="38">
        <f>G142*(1-1)</f>
        <v>0</v>
      </c>
      <c r="AG142" s="39" t="s">
        <v>84</v>
      </c>
      <c r="AM142" s="38">
        <f>F142*AE142</f>
        <v>0</v>
      </c>
      <c r="AN142" s="38">
        <f>F142*AF142</f>
        <v>0</v>
      </c>
      <c r="AO142" s="39" t="s">
        <v>259</v>
      </c>
      <c r="AP142" s="39" t="s">
        <v>260</v>
      </c>
      <c r="AQ142" s="32" t="s">
        <v>55</v>
      </c>
      <c r="AS142" s="38">
        <f>AM142+AN142</f>
        <v>0</v>
      </c>
      <c r="AT142" s="38">
        <f>G142/(100-AU142)*100</f>
        <v>0</v>
      </c>
      <c r="AU142" s="38">
        <v>0</v>
      </c>
      <c r="AV142" s="38">
        <f>L142</f>
        <v>1.5934032</v>
      </c>
    </row>
    <row r="143" spans="4:6" ht="12.75">
      <c r="D143" s="40" t="s">
        <v>284</v>
      </c>
      <c r="F143" s="41">
        <v>520.72</v>
      </c>
    </row>
    <row r="144" spans="4:6" ht="12.75">
      <c r="D144" s="40" t="s">
        <v>285</v>
      </c>
      <c r="F144" s="41">
        <v>10.4144</v>
      </c>
    </row>
    <row r="145" spans="1:48" ht="12.75">
      <c r="A145" s="11" t="s">
        <v>286</v>
      </c>
      <c r="B145" s="11"/>
      <c r="C145" s="11" t="s">
        <v>287</v>
      </c>
      <c r="D145" s="11" t="s">
        <v>288</v>
      </c>
      <c r="E145" s="11" t="s">
        <v>81</v>
      </c>
      <c r="F145" s="38">
        <v>17.649</v>
      </c>
      <c r="G145" s="38">
        <v>0</v>
      </c>
      <c r="H145" s="38">
        <f>F145*AE145</f>
        <v>0</v>
      </c>
      <c r="I145" s="38">
        <f>J145-H145</f>
        <v>0</v>
      </c>
      <c r="J145" s="38">
        <f>F145*G145</f>
        <v>0</v>
      </c>
      <c r="K145" s="38">
        <v>0.00653</v>
      </c>
      <c r="L145" s="38">
        <f>F145*K145</f>
        <v>0.11524797</v>
      </c>
      <c r="M145" s="39" t="s">
        <v>53</v>
      </c>
      <c r="P145" s="38">
        <f>IF(AG145="5",J145,0)</f>
        <v>0</v>
      </c>
      <c r="R145" s="38">
        <f>IF(AG145="1",H145,0)</f>
        <v>0</v>
      </c>
      <c r="S145" s="38">
        <f>IF(AG145="1",I145,0)</f>
        <v>0</v>
      </c>
      <c r="T145" s="38">
        <f>IF(AG145="7",H145,0)</f>
        <v>0</v>
      </c>
      <c r="U145" s="38">
        <f>IF(AG145="7",I145,0)</f>
        <v>0</v>
      </c>
      <c r="V145" s="38">
        <f>IF(AG145="2",H145,0)</f>
        <v>0</v>
      </c>
      <c r="W145" s="38">
        <f>IF(AG145="2",I145,0)</f>
        <v>0</v>
      </c>
      <c r="X145" s="38">
        <f>IF(AG145="0",J145,0)</f>
        <v>0</v>
      </c>
      <c r="Y145" s="32"/>
      <c r="Z145" s="38">
        <f>IF(AD145=0,J145,0)</f>
        <v>0</v>
      </c>
      <c r="AA145" s="38">
        <f>IF(AD145=15,J145,0)</f>
        <v>0</v>
      </c>
      <c r="AB145" s="38">
        <f>IF(AD145=21,J145,0)</f>
        <v>0</v>
      </c>
      <c r="AD145" s="38">
        <v>15</v>
      </c>
      <c r="AE145" s="38">
        <f>G145*0</f>
        <v>0</v>
      </c>
      <c r="AF145" s="38">
        <f>G145*(1-0)</f>
        <v>0</v>
      </c>
      <c r="AG145" s="39" t="s">
        <v>84</v>
      </c>
      <c r="AM145" s="38">
        <f>F145*AE145</f>
        <v>0</v>
      </c>
      <c r="AN145" s="38">
        <f>F145*AF145</f>
        <v>0</v>
      </c>
      <c r="AO145" s="39" t="s">
        <v>259</v>
      </c>
      <c r="AP145" s="39" t="s">
        <v>260</v>
      </c>
      <c r="AQ145" s="32" t="s">
        <v>55</v>
      </c>
      <c r="AS145" s="38">
        <f>AM145+AN145</f>
        <v>0</v>
      </c>
      <c r="AT145" s="38">
        <f>G145/(100-AU145)*100</f>
        <v>0</v>
      </c>
      <c r="AU145" s="38">
        <v>0</v>
      </c>
      <c r="AV145" s="38">
        <f>L145</f>
        <v>0.11524797</v>
      </c>
    </row>
    <row r="146" spans="4:6" ht="12.75">
      <c r="D146" s="40" t="s">
        <v>289</v>
      </c>
      <c r="F146" s="41">
        <v>17.649</v>
      </c>
    </row>
    <row r="147" spans="1:48" ht="12.75">
      <c r="A147" s="11" t="s">
        <v>290</v>
      </c>
      <c r="B147" s="11"/>
      <c r="C147" s="11" t="s">
        <v>291</v>
      </c>
      <c r="D147" s="45" t="s">
        <v>292</v>
      </c>
      <c r="E147" s="11" t="s">
        <v>81</v>
      </c>
      <c r="F147" s="38">
        <v>8.325</v>
      </c>
      <c r="G147" s="38">
        <v>0</v>
      </c>
      <c r="H147" s="38">
        <f>F147*AE147</f>
        <v>0</v>
      </c>
      <c r="I147" s="38">
        <f>J147-H147</f>
        <v>0</v>
      </c>
      <c r="J147" s="38">
        <f>F147*G147</f>
        <v>0</v>
      </c>
      <c r="K147" s="38">
        <v>0.0064</v>
      </c>
      <c r="L147" s="38">
        <f>F147*K147</f>
        <v>0.05328</v>
      </c>
      <c r="M147" s="39" t="s">
        <v>53</v>
      </c>
      <c r="P147" s="38">
        <f>IF(AG147="5",J147,0)</f>
        <v>0</v>
      </c>
      <c r="R147" s="38">
        <f>IF(AG147="1",H147,0)</f>
        <v>0</v>
      </c>
      <c r="S147" s="38">
        <f>IF(AG147="1",I147,0)</f>
        <v>0</v>
      </c>
      <c r="T147" s="38">
        <f>IF(AG147="7",H147,0)</f>
        <v>0</v>
      </c>
      <c r="U147" s="38">
        <f>IF(AG147="7",I147,0)</f>
        <v>0</v>
      </c>
      <c r="V147" s="38">
        <f>IF(AG147="2",H147,0)</f>
        <v>0</v>
      </c>
      <c r="W147" s="38">
        <f>IF(AG147="2",I147,0)</f>
        <v>0</v>
      </c>
      <c r="X147" s="38">
        <f>IF(AG147="0",J147,0)</f>
        <v>0</v>
      </c>
      <c r="Y147" s="32"/>
      <c r="Z147" s="38">
        <f>IF(AD147=0,J147,0)</f>
        <v>0</v>
      </c>
      <c r="AA147" s="38">
        <f>IF(AD147=15,J147,0)</f>
        <v>0</v>
      </c>
      <c r="AB147" s="38">
        <f>IF(AD147=21,J147,0)</f>
        <v>0</v>
      </c>
      <c r="AD147" s="38">
        <v>15</v>
      </c>
      <c r="AE147" s="38">
        <f>G147*1</f>
        <v>0</v>
      </c>
      <c r="AF147" s="38">
        <f>G147*(1-1)</f>
        <v>0</v>
      </c>
      <c r="AG147" s="39" t="s">
        <v>84</v>
      </c>
      <c r="AM147" s="38">
        <f>F147*AE147</f>
        <v>0</v>
      </c>
      <c r="AN147" s="38">
        <f>F147*AF147</f>
        <v>0</v>
      </c>
      <c r="AO147" s="39" t="s">
        <v>259</v>
      </c>
      <c r="AP147" s="39" t="s">
        <v>260</v>
      </c>
      <c r="AQ147" s="32" t="s">
        <v>55</v>
      </c>
      <c r="AS147" s="38">
        <f>AM147+AN147</f>
        <v>0</v>
      </c>
      <c r="AT147" s="38">
        <f>G147/(100-AU147)*100</f>
        <v>0</v>
      </c>
      <c r="AU147" s="38">
        <v>0</v>
      </c>
      <c r="AV147" s="38">
        <f>L147</f>
        <v>0.05328</v>
      </c>
    </row>
    <row r="148" spans="4:6" ht="12.75">
      <c r="D148" s="40" t="s">
        <v>293</v>
      </c>
      <c r="F148" s="41">
        <v>8.325</v>
      </c>
    </row>
    <row r="149" spans="1:48" ht="12.75">
      <c r="A149" s="11" t="s">
        <v>294</v>
      </c>
      <c r="B149" s="11"/>
      <c r="C149" s="11" t="s">
        <v>295</v>
      </c>
      <c r="D149" s="45" t="s">
        <v>296</v>
      </c>
      <c r="E149" s="11" t="s">
        <v>81</v>
      </c>
      <c r="F149" s="38">
        <v>9.324</v>
      </c>
      <c r="G149" s="38">
        <v>0</v>
      </c>
      <c r="H149" s="38">
        <f>F149*AE149</f>
        <v>0</v>
      </c>
      <c r="I149" s="38">
        <f>J149-H149</f>
        <v>0</v>
      </c>
      <c r="J149" s="38">
        <f>F149*G149</f>
        <v>0</v>
      </c>
      <c r="K149" s="38">
        <v>0.0056</v>
      </c>
      <c r="L149" s="38">
        <f>F149*K149</f>
        <v>0.0522144</v>
      </c>
      <c r="M149" s="39" t="s">
        <v>53</v>
      </c>
      <c r="P149" s="38">
        <f>IF(AG149="5",J149,0)</f>
        <v>0</v>
      </c>
      <c r="R149" s="38">
        <f>IF(AG149="1",H149,0)</f>
        <v>0</v>
      </c>
      <c r="S149" s="38">
        <f>IF(AG149="1",I149,0)</f>
        <v>0</v>
      </c>
      <c r="T149" s="38">
        <f>IF(AG149="7",H149,0)</f>
        <v>0</v>
      </c>
      <c r="U149" s="38">
        <f>IF(AG149="7",I149,0)</f>
        <v>0</v>
      </c>
      <c r="V149" s="38">
        <f>IF(AG149="2",H149,0)</f>
        <v>0</v>
      </c>
      <c r="W149" s="38">
        <f>IF(AG149="2",I149,0)</f>
        <v>0</v>
      </c>
      <c r="X149" s="38">
        <f>IF(AG149="0",J149,0)</f>
        <v>0</v>
      </c>
      <c r="Y149" s="32"/>
      <c r="Z149" s="38">
        <f>IF(AD149=0,J149,0)</f>
        <v>0</v>
      </c>
      <c r="AA149" s="38">
        <f>IF(AD149=15,J149,0)</f>
        <v>0</v>
      </c>
      <c r="AB149" s="38">
        <f>IF(AD149=21,J149,0)</f>
        <v>0</v>
      </c>
      <c r="AD149" s="38">
        <v>15</v>
      </c>
      <c r="AE149" s="38">
        <f>G149*1</f>
        <v>0</v>
      </c>
      <c r="AF149" s="38">
        <f>G149*(1-1)</f>
        <v>0</v>
      </c>
      <c r="AG149" s="39" t="s">
        <v>84</v>
      </c>
      <c r="AM149" s="38">
        <f>F149*AE149</f>
        <v>0</v>
      </c>
      <c r="AN149" s="38">
        <f>F149*AF149</f>
        <v>0</v>
      </c>
      <c r="AO149" s="39" t="s">
        <v>259</v>
      </c>
      <c r="AP149" s="39" t="s">
        <v>260</v>
      </c>
      <c r="AQ149" s="32" t="s">
        <v>55</v>
      </c>
      <c r="AS149" s="38">
        <f>AM149+AN149</f>
        <v>0</v>
      </c>
      <c r="AT149" s="38">
        <f>G149/(100-AU149)*100</f>
        <v>0</v>
      </c>
      <c r="AU149" s="38">
        <v>0</v>
      </c>
      <c r="AV149" s="38">
        <f>L149</f>
        <v>0.0522144</v>
      </c>
    </row>
    <row r="150" spans="4:6" ht="12.75">
      <c r="D150" s="40" t="s">
        <v>297</v>
      </c>
      <c r="F150" s="41">
        <v>9.324</v>
      </c>
    </row>
    <row r="151" spans="1:48" ht="12.75">
      <c r="A151" s="11" t="s">
        <v>298</v>
      </c>
      <c r="B151" s="11"/>
      <c r="C151" s="11" t="s">
        <v>299</v>
      </c>
      <c r="D151" s="11" t="s">
        <v>300</v>
      </c>
      <c r="E151" s="11" t="s">
        <v>301</v>
      </c>
      <c r="F151" s="38">
        <v>3.67</v>
      </c>
      <c r="G151" s="38">
        <v>0</v>
      </c>
      <c r="H151" s="38">
        <f>F151*AE151</f>
        <v>0</v>
      </c>
      <c r="I151" s="38">
        <f>J151-H151</f>
        <v>0</v>
      </c>
      <c r="J151" s="38">
        <f>F151*G151</f>
        <v>0</v>
      </c>
      <c r="K151" s="38">
        <v>0</v>
      </c>
      <c r="L151" s="38">
        <f>F151*K151</f>
        <v>0</v>
      </c>
      <c r="M151" s="39" t="s">
        <v>53</v>
      </c>
      <c r="P151" s="38">
        <f>IF(AG151="5",J151,0)</f>
        <v>0</v>
      </c>
      <c r="R151" s="38">
        <f>IF(AG151="1",H151,0)</f>
        <v>0</v>
      </c>
      <c r="S151" s="38">
        <f>IF(AG151="1",I151,0)</f>
        <v>0</v>
      </c>
      <c r="T151" s="38">
        <f>IF(AG151="7",H151,0)</f>
        <v>0</v>
      </c>
      <c r="U151" s="38">
        <f>IF(AG151="7",I151,0)</f>
        <v>0</v>
      </c>
      <c r="V151" s="38">
        <f>IF(AG151="2",H151,0)</f>
        <v>0</v>
      </c>
      <c r="W151" s="38">
        <f>IF(AG151="2",I151,0)</f>
        <v>0</v>
      </c>
      <c r="X151" s="38">
        <f>IF(AG151="0",J151,0)</f>
        <v>0</v>
      </c>
      <c r="Y151" s="32"/>
      <c r="Z151" s="38">
        <f>IF(AD151=0,J151,0)</f>
        <v>0</v>
      </c>
      <c r="AA151" s="38">
        <f>IF(AD151=15,J151,0)</f>
        <v>0</v>
      </c>
      <c r="AB151" s="38">
        <f>IF(AD151=21,J151,0)</f>
        <v>0</v>
      </c>
      <c r="AD151" s="38">
        <v>15</v>
      </c>
      <c r="AE151" s="38">
        <f>G151*0</f>
        <v>0</v>
      </c>
      <c r="AF151" s="38">
        <f>G151*(1-0)</f>
        <v>0</v>
      </c>
      <c r="AG151" s="39" t="s">
        <v>71</v>
      </c>
      <c r="AM151" s="38">
        <f>F151*AE151</f>
        <v>0</v>
      </c>
      <c r="AN151" s="38">
        <f>F151*AF151</f>
        <v>0</v>
      </c>
      <c r="AO151" s="39" t="s">
        <v>259</v>
      </c>
      <c r="AP151" s="39" t="s">
        <v>260</v>
      </c>
      <c r="AQ151" s="32" t="s">
        <v>55</v>
      </c>
      <c r="AS151" s="38">
        <f>AM151+AN151</f>
        <v>0</v>
      </c>
      <c r="AT151" s="38">
        <f>G151/(100-AU151)*100</f>
        <v>0</v>
      </c>
      <c r="AU151" s="38">
        <v>0</v>
      </c>
      <c r="AV151" s="38">
        <f>L151</f>
        <v>0</v>
      </c>
    </row>
    <row r="152" spans="4:6" ht="12.75">
      <c r="D152" s="40" t="s">
        <v>302</v>
      </c>
      <c r="F152" s="41">
        <v>3.67</v>
      </c>
    </row>
    <row r="153" spans="1:37" ht="12.75">
      <c r="A153" s="42"/>
      <c r="B153" s="43"/>
      <c r="C153" s="43" t="s">
        <v>303</v>
      </c>
      <c r="D153" s="43" t="s">
        <v>304</v>
      </c>
      <c r="E153" s="42" t="s">
        <v>4</v>
      </c>
      <c r="F153" s="42" t="s">
        <v>4</v>
      </c>
      <c r="G153" s="42" t="s">
        <v>4</v>
      </c>
      <c r="H153" s="37">
        <f>SUM(H154:H166)</f>
        <v>0</v>
      </c>
      <c r="I153" s="37">
        <f>SUM(I154:I166)</f>
        <v>0</v>
      </c>
      <c r="J153" s="37">
        <f>H153+I153</f>
        <v>0</v>
      </c>
      <c r="K153" s="32"/>
      <c r="L153" s="37">
        <f>SUM(L154:L166)</f>
        <v>0.35229</v>
      </c>
      <c r="M153" s="32"/>
      <c r="Y153" s="32"/>
      <c r="AI153" s="37">
        <f>SUM(Z154:Z166)</f>
        <v>0</v>
      </c>
      <c r="AJ153" s="37">
        <f>SUM(AA154:AA166)</f>
        <v>0</v>
      </c>
      <c r="AK153" s="37">
        <f>SUM(AB154:AB166)</f>
        <v>0</v>
      </c>
    </row>
    <row r="154" spans="1:48" ht="12.75">
      <c r="A154" s="11" t="s">
        <v>305</v>
      </c>
      <c r="B154" s="11"/>
      <c r="C154" s="11" t="s">
        <v>306</v>
      </c>
      <c r="D154" s="11" t="s">
        <v>307</v>
      </c>
      <c r="E154" s="11" t="s">
        <v>99</v>
      </c>
      <c r="F154" s="38">
        <v>6</v>
      </c>
      <c r="G154" s="38">
        <v>0</v>
      </c>
      <c r="H154" s="38">
        <f>F154*AE154</f>
        <v>0</v>
      </c>
      <c r="I154" s="38">
        <f>J154-H154</f>
        <v>0</v>
      </c>
      <c r="J154" s="38">
        <f>F154*G154</f>
        <v>0</v>
      </c>
      <c r="K154" s="38">
        <v>0.02517</v>
      </c>
      <c r="L154" s="38">
        <f>F154*K154</f>
        <v>0.15102000000000002</v>
      </c>
      <c r="M154" s="39" t="s">
        <v>53</v>
      </c>
      <c r="P154" s="38">
        <f>IF(AG154="5",J154,0)</f>
        <v>0</v>
      </c>
      <c r="R154" s="38">
        <f>IF(AG154="1",H154,0)</f>
        <v>0</v>
      </c>
      <c r="S154" s="38">
        <f>IF(AG154="1",I154,0)</f>
        <v>0</v>
      </c>
      <c r="T154" s="38">
        <f>IF(AG154="7",H154,0)</f>
        <v>0</v>
      </c>
      <c r="U154" s="38">
        <f>IF(AG154="7",I154,0)</f>
        <v>0</v>
      </c>
      <c r="V154" s="38">
        <f>IF(AG154="2",H154,0)</f>
        <v>0</v>
      </c>
      <c r="W154" s="38">
        <f>IF(AG154="2",I154,0)</f>
        <v>0</v>
      </c>
      <c r="X154" s="38">
        <f>IF(AG154="0",J154,0)</f>
        <v>0</v>
      </c>
      <c r="Y154" s="32"/>
      <c r="Z154" s="38">
        <f>IF(AD154=0,J154,0)</f>
        <v>0</v>
      </c>
      <c r="AA154" s="38">
        <f>IF(AD154=15,J154,0)</f>
        <v>0</v>
      </c>
      <c r="AB154" s="38">
        <f>IF(AD154=21,J154,0)</f>
        <v>0</v>
      </c>
      <c r="AD154" s="38">
        <v>15</v>
      </c>
      <c r="AE154" s="38">
        <f>G154*0</f>
        <v>0</v>
      </c>
      <c r="AF154" s="38">
        <f>G154*(1-0)</f>
        <v>0</v>
      </c>
      <c r="AG154" s="39" t="s">
        <v>84</v>
      </c>
      <c r="AM154" s="38">
        <f>F154*AE154</f>
        <v>0</v>
      </c>
      <c r="AN154" s="38">
        <f>F154*AF154</f>
        <v>0</v>
      </c>
      <c r="AO154" s="39" t="s">
        <v>308</v>
      </c>
      <c r="AP154" s="39" t="s">
        <v>309</v>
      </c>
      <c r="AQ154" s="32" t="s">
        <v>55</v>
      </c>
      <c r="AS154" s="38">
        <f>AM154+AN154</f>
        <v>0</v>
      </c>
      <c r="AT154" s="38">
        <f>G154/(100-AU154)*100</f>
        <v>0</v>
      </c>
      <c r="AU154" s="38">
        <v>0</v>
      </c>
      <c r="AV154" s="38">
        <f>L154</f>
        <v>0.15102000000000002</v>
      </c>
    </row>
    <row r="155" spans="4:6" ht="12.75">
      <c r="D155" s="40" t="s">
        <v>78</v>
      </c>
      <c r="F155" s="41">
        <v>6</v>
      </c>
    </row>
    <row r="156" spans="1:48" ht="12.75">
      <c r="A156" s="11" t="s">
        <v>310</v>
      </c>
      <c r="B156" s="11"/>
      <c r="C156" s="11" t="s">
        <v>311</v>
      </c>
      <c r="D156" s="11" t="s">
        <v>312</v>
      </c>
      <c r="E156" s="11" t="s">
        <v>99</v>
      </c>
      <c r="F156" s="38">
        <v>6</v>
      </c>
      <c r="G156" s="38">
        <v>0</v>
      </c>
      <c r="H156" s="38">
        <f>F156*AE156</f>
        <v>0</v>
      </c>
      <c r="I156" s="38">
        <f>J156-H156</f>
        <v>0</v>
      </c>
      <c r="J156" s="38">
        <f>F156*G156</f>
        <v>0</v>
      </c>
      <c r="K156" s="38">
        <v>0.0252</v>
      </c>
      <c r="L156" s="38">
        <f>F156*K156</f>
        <v>0.1512</v>
      </c>
      <c r="M156" s="39" t="s">
        <v>53</v>
      </c>
      <c r="P156" s="38">
        <f>IF(AG156="5",J156,0)</f>
        <v>0</v>
      </c>
      <c r="R156" s="38">
        <f>IF(AG156="1",H156,0)</f>
        <v>0</v>
      </c>
      <c r="S156" s="38">
        <f>IF(AG156="1",I156,0)</f>
        <v>0</v>
      </c>
      <c r="T156" s="38">
        <f>IF(AG156="7",H156,0)</f>
        <v>0</v>
      </c>
      <c r="U156" s="38">
        <f>IF(AG156="7",I156,0)</f>
        <v>0</v>
      </c>
      <c r="V156" s="38">
        <f>IF(AG156="2",H156,0)</f>
        <v>0</v>
      </c>
      <c r="W156" s="38">
        <f>IF(AG156="2",I156,0)</f>
        <v>0</v>
      </c>
      <c r="X156" s="38">
        <f>IF(AG156="0",J156,0)</f>
        <v>0</v>
      </c>
      <c r="Y156" s="32"/>
      <c r="Z156" s="38">
        <f>IF(AD156=0,J156,0)</f>
        <v>0</v>
      </c>
      <c r="AA156" s="38">
        <f>IF(AD156=15,J156,0)</f>
        <v>0</v>
      </c>
      <c r="AB156" s="38">
        <f>IF(AD156=21,J156,0)</f>
        <v>0</v>
      </c>
      <c r="AD156" s="38">
        <v>15</v>
      </c>
      <c r="AE156" s="38">
        <f>G156*0.853803177204746</f>
        <v>0</v>
      </c>
      <c r="AF156" s="38">
        <f>G156*(1-0.853803177204746)</f>
        <v>0</v>
      </c>
      <c r="AG156" s="39" t="s">
        <v>84</v>
      </c>
      <c r="AM156" s="38">
        <f>F156*AE156</f>
        <v>0</v>
      </c>
      <c r="AN156" s="38">
        <f>F156*AF156</f>
        <v>0</v>
      </c>
      <c r="AO156" s="39" t="s">
        <v>308</v>
      </c>
      <c r="AP156" s="39" t="s">
        <v>309</v>
      </c>
      <c r="AQ156" s="32" t="s">
        <v>55</v>
      </c>
      <c r="AS156" s="38">
        <f>AM156+AN156</f>
        <v>0</v>
      </c>
      <c r="AT156" s="38">
        <f>G156/(100-AU156)*100</f>
        <v>0</v>
      </c>
      <c r="AU156" s="38">
        <v>0</v>
      </c>
      <c r="AV156" s="38">
        <f>L156</f>
        <v>0.1512</v>
      </c>
    </row>
    <row r="157" spans="4:6" ht="12.75">
      <c r="D157" s="40" t="s">
        <v>313</v>
      </c>
      <c r="F157" s="41">
        <v>6</v>
      </c>
    </row>
    <row r="158" spans="1:48" ht="12.75">
      <c r="A158" s="11" t="s">
        <v>314</v>
      </c>
      <c r="B158" s="11"/>
      <c r="C158" s="11" t="s">
        <v>315</v>
      </c>
      <c r="D158" s="45" t="s">
        <v>316</v>
      </c>
      <c r="E158" s="11" t="s">
        <v>99</v>
      </c>
      <c r="F158" s="38">
        <v>1</v>
      </c>
      <c r="G158" s="38">
        <v>0</v>
      </c>
      <c r="H158" s="38">
        <f>F158*AE158</f>
        <v>0</v>
      </c>
      <c r="I158" s="38">
        <f>J158-H158</f>
        <v>0</v>
      </c>
      <c r="J158" s="38">
        <f>F158*G158</f>
        <v>0</v>
      </c>
      <c r="K158" s="38">
        <v>0.0226</v>
      </c>
      <c r="L158" s="38">
        <f>F158*K158</f>
        <v>0.0226</v>
      </c>
      <c r="M158" s="39" t="s">
        <v>53</v>
      </c>
      <c r="P158" s="38">
        <f>IF(AG158="5",J158,0)</f>
        <v>0</v>
      </c>
      <c r="R158" s="38">
        <f>IF(AG158="1",H158,0)</f>
        <v>0</v>
      </c>
      <c r="S158" s="38">
        <f>IF(AG158="1",I158,0)</f>
        <v>0</v>
      </c>
      <c r="T158" s="38">
        <f>IF(AG158="7",H158,0)</f>
        <v>0</v>
      </c>
      <c r="U158" s="38">
        <f>IF(AG158="7",I158,0)</f>
        <v>0</v>
      </c>
      <c r="V158" s="38">
        <f>IF(AG158="2",H158,0)</f>
        <v>0</v>
      </c>
      <c r="W158" s="38">
        <f>IF(AG158="2",I158,0)</f>
        <v>0</v>
      </c>
      <c r="X158" s="38">
        <f>IF(AG158="0",J158,0)</f>
        <v>0</v>
      </c>
      <c r="Y158" s="32"/>
      <c r="Z158" s="38">
        <f>IF(AD158=0,J158,0)</f>
        <v>0</v>
      </c>
      <c r="AA158" s="38">
        <f>IF(AD158=15,J158,0)</f>
        <v>0</v>
      </c>
      <c r="AB158" s="38">
        <f>IF(AD158=21,J158,0)</f>
        <v>0</v>
      </c>
      <c r="AD158" s="38">
        <v>15</v>
      </c>
      <c r="AE158" s="38">
        <f>G158*1</f>
        <v>0</v>
      </c>
      <c r="AF158" s="38">
        <f>G158*(1-1)</f>
        <v>0</v>
      </c>
      <c r="AG158" s="39" t="s">
        <v>84</v>
      </c>
      <c r="AM158" s="38">
        <f>F158*AE158</f>
        <v>0</v>
      </c>
      <c r="AN158" s="38">
        <f>F158*AF158</f>
        <v>0</v>
      </c>
      <c r="AO158" s="39" t="s">
        <v>308</v>
      </c>
      <c r="AP158" s="39" t="s">
        <v>309</v>
      </c>
      <c r="AQ158" s="32" t="s">
        <v>55</v>
      </c>
      <c r="AS158" s="38">
        <f>AM158+AN158</f>
        <v>0</v>
      </c>
      <c r="AT158" s="38">
        <f>G158/(100-AU158)*100</f>
        <v>0</v>
      </c>
      <c r="AU158" s="38">
        <v>0</v>
      </c>
      <c r="AV158" s="38">
        <f>L158</f>
        <v>0.0226</v>
      </c>
    </row>
    <row r="159" spans="4:6" ht="12.75">
      <c r="D159" s="44" t="s">
        <v>317</v>
      </c>
      <c r="F159" s="41">
        <v>1</v>
      </c>
    </row>
    <row r="160" spans="1:48" ht="12.75">
      <c r="A160" s="11" t="s">
        <v>318</v>
      </c>
      <c r="B160" s="11"/>
      <c r="C160" s="11" t="s">
        <v>319</v>
      </c>
      <c r="D160" s="11" t="s">
        <v>320</v>
      </c>
      <c r="E160" s="11" t="s">
        <v>99</v>
      </c>
      <c r="F160" s="38">
        <v>1</v>
      </c>
      <c r="G160" s="38">
        <v>0</v>
      </c>
      <c r="H160" s="38">
        <f>F160*AE160</f>
        <v>0</v>
      </c>
      <c r="I160" s="38">
        <f>J160-H160</f>
        <v>0</v>
      </c>
      <c r="J160" s="38">
        <f>F160*G160</f>
        <v>0</v>
      </c>
      <c r="K160" s="38">
        <v>0.0051</v>
      </c>
      <c r="L160" s="38">
        <f>F160*K160</f>
        <v>0.0051</v>
      </c>
      <c r="M160" s="39" t="s">
        <v>53</v>
      </c>
      <c r="P160" s="38">
        <f>IF(AG160="5",J160,0)</f>
        <v>0</v>
      </c>
      <c r="R160" s="38">
        <f>IF(AG160="1",H160,0)</f>
        <v>0</v>
      </c>
      <c r="S160" s="38">
        <f>IF(AG160="1",I160,0)</f>
        <v>0</v>
      </c>
      <c r="T160" s="38">
        <f>IF(AG160="7",H160,0)</f>
        <v>0</v>
      </c>
      <c r="U160" s="38">
        <f>IF(AG160="7",I160,0)</f>
        <v>0</v>
      </c>
      <c r="V160" s="38">
        <f>IF(AG160="2",H160,0)</f>
        <v>0</v>
      </c>
      <c r="W160" s="38">
        <f>IF(AG160="2",I160,0)</f>
        <v>0</v>
      </c>
      <c r="X160" s="38">
        <f>IF(AG160="0",J160,0)</f>
        <v>0</v>
      </c>
      <c r="Y160" s="32"/>
      <c r="Z160" s="38">
        <f>IF(AD160=0,J160,0)</f>
        <v>0</v>
      </c>
      <c r="AA160" s="38">
        <f>IF(AD160=15,J160,0)</f>
        <v>0</v>
      </c>
      <c r="AB160" s="38">
        <f>IF(AD160=21,J160,0)</f>
        <v>0</v>
      </c>
      <c r="AD160" s="38">
        <v>15</v>
      </c>
      <c r="AE160" s="38">
        <f>G160*1</f>
        <v>0</v>
      </c>
      <c r="AF160" s="38">
        <f>G160*(1-1)</f>
        <v>0</v>
      </c>
      <c r="AG160" s="39" t="s">
        <v>84</v>
      </c>
      <c r="AM160" s="38">
        <f>F160*AE160</f>
        <v>0</v>
      </c>
      <c r="AN160" s="38">
        <f>F160*AF160</f>
        <v>0</v>
      </c>
      <c r="AO160" s="39" t="s">
        <v>308</v>
      </c>
      <c r="AP160" s="39" t="s">
        <v>309</v>
      </c>
      <c r="AQ160" s="32" t="s">
        <v>55</v>
      </c>
      <c r="AS160" s="38">
        <f>AM160+AN160</f>
        <v>0</v>
      </c>
      <c r="AT160" s="38">
        <f>G160/(100-AU160)*100</f>
        <v>0</v>
      </c>
      <c r="AU160" s="38">
        <v>0</v>
      </c>
      <c r="AV160" s="38">
        <f>L160</f>
        <v>0.0051</v>
      </c>
    </row>
    <row r="161" spans="4:6" ht="12.75">
      <c r="D161" s="40" t="s">
        <v>49</v>
      </c>
      <c r="F161" s="41">
        <v>1</v>
      </c>
    </row>
    <row r="162" spans="1:48" ht="12.75">
      <c r="A162" s="11" t="s">
        <v>321</v>
      </c>
      <c r="B162" s="11"/>
      <c r="C162" s="11" t="s">
        <v>322</v>
      </c>
      <c r="D162" s="11" t="s">
        <v>323</v>
      </c>
      <c r="E162" s="11" t="s">
        <v>99</v>
      </c>
      <c r="F162" s="38">
        <v>1</v>
      </c>
      <c r="G162" s="38">
        <v>0</v>
      </c>
      <c r="H162" s="38">
        <f>F162*AE162</f>
        <v>0</v>
      </c>
      <c r="I162" s="38">
        <f>J162-H162</f>
        <v>0</v>
      </c>
      <c r="J162" s="38">
        <f>F162*G162</f>
        <v>0</v>
      </c>
      <c r="K162" s="38">
        <v>0.0101</v>
      </c>
      <c r="L162" s="38">
        <f>F162*K162</f>
        <v>0.0101</v>
      </c>
      <c r="M162" s="39" t="s">
        <v>53</v>
      </c>
      <c r="P162" s="38">
        <f>IF(AG162="5",J162,0)</f>
        <v>0</v>
      </c>
      <c r="R162" s="38">
        <f>IF(AG162="1",H162,0)</f>
        <v>0</v>
      </c>
      <c r="S162" s="38">
        <f>IF(AG162="1",I162,0)</f>
        <v>0</v>
      </c>
      <c r="T162" s="38">
        <f>IF(AG162="7",H162,0)</f>
        <v>0</v>
      </c>
      <c r="U162" s="38">
        <f>IF(AG162="7",I162,0)</f>
        <v>0</v>
      </c>
      <c r="V162" s="38">
        <f>IF(AG162="2",H162,0)</f>
        <v>0</v>
      </c>
      <c r="W162" s="38">
        <f>IF(AG162="2",I162,0)</f>
        <v>0</v>
      </c>
      <c r="X162" s="38">
        <f>IF(AG162="0",J162,0)</f>
        <v>0</v>
      </c>
      <c r="Y162" s="32"/>
      <c r="Z162" s="38">
        <f>IF(AD162=0,J162,0)</f>
        <v>0</v>
      </c>
      <c r="AA162" s="38">
        <f>IF(AD162=15,J162,0)</f>
        <v>0</v>
      </c>
      <c r="AB162" s="38">
        <f>IF(AD162=21,J162,0)</f>
        <v>0</v>
      </c>
      <c r="AD162" s="38">
        <v>15</v>
      </c>
      <c r="AE162" s="38">
        <f>G162*1</f>
        <v>0</v>
      </c>
      <c r="AF162" s="38">
        <f>G162*(1-1)</f>
        <v>0</v>
      </c>
      <c r="AG162" s="39" t="s">
        <v>84</v>
      </c>
      <c r="AM162" s="38">
        <f>F162*AE162</f>
        <v>0</v>
      </c>
      <c r="AN162" s="38">
        <f>F162*AF162</f>
        <v>0</v>
      </c>
      <c r="AO162" s="39" t="s">
        <v>308</v>
      </c>
      <c r="AP162" s="39" t="s">
        <v>309</v>
      </c>
      <c r="AQ162" s="32" t="s">
        <v>55</v>
      </c>
      <c r="AS162" s="38">
        <f>AM162+AN162</f>
        <v>0</v>
      </c>
      <c r="AT162" s="38">
        <f>G162/(100-AU162)*100</f>
        <v>0</v>
      </c>
      <c r="AU162" s="38">
        <v>0</v>
      </c>
      <c r="AV162" s="38">
        <f>L162</f>
        <v>0.0101</v>
      </c>
    </row>
    <row r="163" spans="4:6" ht="12.75">
      <c r="D163" s="40" t="s">
        <v>49</v>
      </c>
      <c r="F163" s="41">
        <v>1</v>
      </c>
    </row>
    <row r="164" spans="1:48" ht="12.75">
      <c r="A164" s="11" t="s">
        <v>324</v>
      </c>
      <c r="B164" s="11"/>
      <c r="C164" s="11" t="s">
        <v>325</v>
      </c>
      <c r="D164" s="11" t="s">
        <v>326</v>
      </c>
      <c r="E164" s="11" t="s">
        <v>52</v>
      </c>
      <c r="F164" s="38">
        <v>1</v>
      </c>
      <c r="G164" s="38">
        <v>0</v>
      </c>
      <c r="H164" s="38">
        <f>F164*AE164</f>
        <v>0</v>
      </c>
      <c r="I164" s="38">
        <f>J164-H164</f>
        <v>0</v>
      </c>
      <c r="J164" s="38">
        <f>F164*G164</f>
        <v>0</v>
      </c>
      <c r="K164" s="38">
        <v>0.01227</v>
      </c>
      <c r="L164" s="38">
        <f>F164*K164</f>
        <v>0.01227</v>
      </c>
      <c r="M164" s="39" t="s">
        <v>53</v>
      </c>
      <c r="P164" s="38">
        <f>IF(AG164="5",J164,0)</f>
        <v>0</v>
      </c>
      <c r="R164" s="38">
        <f>IF(AG164="1",H164,0)</f>
        <v>0</v>
      </c>
      <c r="S164" s="38">
        <f>IF(AG164="1",I164,0)</f>
        <v>0</v>
      </c>
      <c r="T164" s="38">
        <f>IF(AG164="7",H164,0)</f>
        <v>0</v>
      </c>
      <c r="U164" s="38">
        <f>IF(AG164="7",I164,0)</f>
        <v>0</v>
      </c>
      <c r="V164" s="38">
        <f>IF(AG164="2",H164,0)</f>
        <v>0</v>
      </c>
      <c r="W164" s="38">
        <f>IF(AG164="2",I164,0)</f>
        <v>0</v>
      </c>
      <c r="X164" s="38">
        <f>IF(AG164="0",J164,0)</f>
        <v>0</v>
      </c>
      <c r="Y164" s="32"/>
      <c r="Z164" s="38">
        <f>IF(AD164=0,J164,0)</f>
        <v>0</v>
      </c>
      <c r="AA164" s="38">
        <f>IF(AD164=15,J164,0)</f>
        <v>0</v>
      </c>
      <c r="AB164" s="38">
        <f>IF(AD164=21,J164,0)</f>
        <v>0</v>
      </c>
      <c r="AD164" s="38">
        <v>15</v>
      </c>
      <c r="AE164" s="38">
        <f>G164*0.634246153846154</f>
        <v>0</v>
      </c>
      <c r="AF164" s="38">
        <f>G164*(1-0.634246153846154)</f>
        <v>0</v>
      </c>
      <c r="AG164" s="39" t="s">
        <v>84</v>
      </c>
      <c r="AM164" s="38">
        <f>F164*AE164</f>
        <v>0</v>
      </c>
      <c r="AN164" s="38">
        <f>F164*AF164</f>
        <v>0</v>
      </c>
      <c r="AO164" s="39" t="s">
        <v>308</v>
      </c>
      <c r="AP164" s="39" t="s">
        <v>309</v>
      </c>
      <c r="AQ164" s="32" t="s">
        <v>55</v>
      </c>
      <c r="AS164" s="38">
        <f>AM164+AN164</f>
        <v>0</v>
      </c>
      <c r="AT164" s="38">
        <f>G164/(100-AU164)*100</f>
        <v>0</v>
      </c>
      <c r="AU164" s="38">
        <v>0</v>
      </c>
      <c r="AV164" s="38">
        <f>L164</f>
        <v>0.01227</v>
      </c>
    </row>
    <row r="165" spans="4:6" ht="12.75">
      <c r="D165" s="40" t="s">
        <v>49</v>
      </c>
      <c r="F165" s="41">
        <v>1</v>
      </c>
    </row>
    <row r="166" spans="1:48" ht="12.75">
      <c r="A166" s="11" t="s">
        <v>327</v>
      </c>
      <c r="B166" s="11"/>
      <c r="C166" s="11" t="s">
        <v>328</v>
      </c>
      <c r="D166" s="11" t="s">
        <v>329</v>
      </c>
      <c r="E166" s="11" t="s">
        <v>301</v>
      </c>
      <c r="F166" s="38">
        <v>0.35</v>
      </c>
      <c r="G166" s="38">
        <v>0</v>
      </c>
      <c r="H166" s="38">
        <f>F166*AE166</f>
        <v>0</v>
      </c>
      <c r="I166" s="38">
        <f>J166-H166</f>
        <v>0</v>
      </c>
      <c r="J166" s="38">
        <f>F166*G166</f>
        <v>0</v>
      </c>
      <c r="K166" s="38">
        <v>0</v>
      </c>
      <c r="L166" s="38">
        <f>F166*K166</f>
        <v>0</v>
      </c>
      <c r="M166" s="39" t="s">
        <v>53</v>
      </c>
      <c r="P166" s="38">
        <f>IF(AG166="5",J166,0)</f>
        <v>0</v>
      </c>
      <c r="R166" s="38">
        <f>IF(AG166="1",H166,0)</f>
        <v>0</v>
      </c>
      <c r="S166" s="38">
        <f>IF(AG166="1",I166,0)</f>
        <v>0</v>
      </c>
      <c r="T166" s="38">
        <f>IF(AG166="7",H166,0)</f>
        <v>0</v>
      </c>
      <c r="U166" s="38">
        <f>IF(AG166="7",I166,0)</f>
        <v>0</v>
      </c>
      <c r="V166" s="38">
        <f>IF(AG166="2",H166,0)</f>
        <v>0</v>
      </c>
      <c r="W166" s="38">
        <f>IF(AG166="2",I166,0)</f>
        <v>0</v>
      </c>
      <c r="X166" s="38">
        <f>IF(AG166="0",J166,0)</f>
        <v>0</v>
      </c>
      <c r="Y166" s="32"/>
      <c r="Z166" s="38">
        <f>IF(AD166=0,J166,0)</f>
        <v>0</v>
      </c>
      <c r="AA166" s="38">
        <f>IF(AD166=15,J166,0)</f>
        <v>0</v>
      </c>
      <c r="AB166" s="38">
        <f>IF(AD166=21,J166,0)</f>
        <v>0</v>
      </c>
      <c r="AD166" s="38">
        <v>15</v>
      </c>
      <c r="AE166" s="38">
        <f>G166*0</f>
        <v>0</v>
      </c>
      <c r="AF166" s="38">
        <f>G166*(1-0)</f>
        <v>0</v>
      </c>
      <c r="AG166" s="39" t="s">
        <v>71</v>
      </c>
      <c r="AM166" s="38">
        <f>F166*AE166</f>
        <v>0</v>
      </c>
      <c r="AN166" s="38">
        <f>F166*AF166</f>
        <v>0</v>
      </c>
      <c r="AO166" s="39" t="s">
        <v>308</v>
      </c>
      <c r="AP166" s="39" t="s">
        <v>309</v>
      </c>
      <c r="AQ166" s="32" t="s">
        <v>55</v>
      </c>
      <c r="AS166" s="38">
        <f>AM166+AN166</f>
        <v>0</v>
      </c>
      <c r="AT166" s="38">
        <f>G166/(100-AU166)*100</f>
        <v>0</v>
      </c>
      <c r="AU166" s="38">
        <v>0</v>
      </c>
      <c r="AV166" s="38">
        <f>L166</f>
        <v>0</v>
      </c>
    </row>
    <row r="167" spans="4:6" ht="12.75">
      <c r="D167" s="40" t="s">
        <v>330</v>
      </c>
      <c r="F167" s="41">
        <v>0.35</v>
      </c>
    </row>
    <row r="168" spans="1:37" ht="12.75">
      <c r="A168" s="42"/>
      <c r="B168" s="43"/>
      <c r="C168" s="43" t="s">
        <v>331</v>
      </c>
      <c r="D168" s="43" t="s">
        <v>332</v>
      </c>
      <c r="E168" s="42" t="s">
        <v>4</v>
      </c>
      <c r="F168" s="42" t="s">
        <v>4</v>
      </c>
      <c r="G168" s="42" t="s">
        <v>4</v>
      </c>
      <c r="H168" s="37">
        <f>SUM(H169:H169)</f>
        <v>0</v>
      </c>
      <c r="I168" s="37">
        <f>SUM(I169:I169)</f>
        <v>0</v>
      </c>
      <c r="J168" s="37">
        <f>H168+I168</f>
        <v>0</v>
      </c>
      <c r="K168" s="32"/>
      <c r="L168" s="37">
        <f>SUM(L169:L169)</f>
        <v>0</v>
      </c>
      <c r="M168" s="32"/>
      <c r="Y168" s="32"/>
      <c r="AI168" s="37">
        <f>SUM(Z169:Z169)</f>
        <v>0</v>
      </c>
      <c r="AJ168" s="37">
        <f>SUM(AA169:AA169)</f>
        <v>0</v>
      </c>
      <c r="AK168" s="37">
        <f>SUM(AB169:AB169)</f>
        <v>0</v>
      </c>
    </row>
    <row r="169" spans="1:48" ht="12.75">
      <c r="A169" s="11" t="s">
        <v>333</v>
      </c>
      <c r="B169" s="11"/>
      <c r="C169" s="11" t="s">
        <v>334</v>
      </c>
      <c r="D169" s="11" t="s">
        <v>335</v>
      </c>
      <c r="E169" s="11" t="s">
        <v>52</v>
      </c>
      <c r="F169" s="38">
        <v>19</v>
      </c>
      <c r="G169" s="38">
        <v>0</v>
      </c>
      <c r="H169" s="38">
        <f>F169*AE169</f>
        <v>0</v>
      </c>
      <c r="I169" s="38">
        <f>J169-H169</f>
        <v>0</v>
      </c>
      <c r="J169" s="38">
        <f>F169*G169</f>
        <v>0</v>
      </c>
      <c r="K169" s="38">
        <v>0</v>
      </c>
      <c r="L169" s="38">
        <f>F169*K169</f>
        <v>0</v>
      </c>
      <c r="M169" s="39" t="s">
        <v>53</v>
      </c>
      <c r="P169" s="38">
        <f>IF(AG169="5",J169,0)</f>
        <v>0</v>
      </c>
      <c r="R169" s="38">
        <f>IF(AG169="1",H169,0)</f>
        <v>0</v>
      </c>
      <c r="S169" s="38">
        <f>IF(AG169="1",I169,0)</f>
        <v>0</v>
      </c>
      <c r="T169" s="38">
        <f>IF(AG169="7",H169,0)</f>
        <v>0</v>
      </c>
      <c r="U169" s="38">
        <f>IF(AG169="7",I169,0)</f>
        <v>0</v>
      </c>
      <c r="V169" s="38">
        <f>IF(AG169="2",H169,0)</f>
        <v>0</v>
      </c>
      <c r="W169" s="38">
        <f>IF(AG169="2",I169,0)</f>
        <v>0</v>
      </c>
      <c r="X169" s="38">
        <f>IF(AG169="0",J169,0)</f>
        <v>0</v>
      </c>
      <c r="Y169" s="32"/>
      <c r="Z169" s="38">
        <f>IF(AD169=0,J169,0)</f>
        <v>0</v>
      </c>
      <c r="AA169" s="38">
        <f>IF(AD169=15,J169,0)</f>
        <v>0</v>
      </c>
      <c r="AB169" s="38">
        <f>IF(AD169=21,J169,0)</f>
        <v>0</v>
      </c>
      <c r="AD169" s="38">
        <v>15</v>
      </c>
      <c r="AE169" s="38">
        <f>G169*0.697674418604651</f>
        <v>0</v>
      </c>
      <c r="AF169" s="38">
        <f>G169*(1-0.697674418604651)</f>
        <v>0</v>
      </c>
      <c r="AG169" s="39" t="s">
        <v>84</v>
      </c>
      <c r="AM169" s="38">
        <f>F169*AE169</f>
        <v>0</v>
      </c>
      <c r="AN169" s="38">
        <f>F169*AF169</f>
        <v>0</v>
      </c>
      <c r="AO169" s="39" t="s">
        <v>336</v>
      </c>
      <c r="AP169" s="39" t="s">
        <v>309</v>
      </c>
      <c r="AQ169" s="32" t="s">
        <v>55</v>
      </c>
      <c r="AS169" s="38">
        <f>AM169+AN169</f>
        <v>0</v>
      </c>
      <c r="AT169" s="38">
        <f>G169/(100-AU169)*100</f>
        <v>0</v>
      </c>
      <c r="AU169" s="38">
        <v>0</v>
      </c>
      <c r="AV169" s="38">
        <f>L169</f>
        <v>0</v>
      </c>
    </row>
    <row r="170" spans="4:6" ht="12.75">
      <c r="D170" s="40" t="s">
        <v>163</v>
      </c>
      <c r="F170" s="41">
        <v>19</v>
      </c>
    </row>
    <row r="171" spans="1:37" ht="12.75">
      <c r="A171" s="42"/>
      <c r="B171" s="43"/>
      <c r="C171" s="43" t="s">
        <v>337</v>
      </c>
      <c r="D171" s="43" t="s">
        <v>338</v>
      </c>
      <c r="E171" s="42" t="s">
        <v>4</v>
      </c>
      <c r="F171" s="42" t="s">
        <v>4</v>
      </c>
      <c r="G171" s="42" t="s">
        <v>4</v>
      </c>
      <c r="H171" s="37">
        <f>SUM(H172:H174)</f>
        <v>0</v>
      </c>
      <c r="I171" s="37">
        <f>SUM(I172:I174)</f>
        <v>0</v>
      </c>
      <c r="J171" s="37">
        <f>H171+I171</f>
        <v>0</v>
      </c>
      <c r="K171" s="32"/>
      <c r="L171" s="37">
        <f>SUM(L172:L174)</f>
        <v>4.6396152</v>
      </c>
      <c r="M171" s="32"/>
      <c r="Y171" s="32"/>
      <c r="AI171" s="37">
        <f>SUM(Z172:Z174)</f>
        <v>0</v>
      </c>
      <c r="AJ171" s="37">
        <f>SUM(AA172:AA174)</f>
        <v>0</v>
      </c>
      <c r="AK171" s="37">
        <f>SUM(AB172:AB174)</f>
        <v>0</v>
      </c>
    </row>
    <row r="172" spans="1:48" ht="12.75">
      <c r="A172" s="11" t="s">
        <v>339</v>
      </c>
      <c r="B172" s="11"/>
      <c r="C172" s="11" t="s">
        <v>340</v>
      </c>
      <c r="D172" s="11" t="s">
        <v>341</v>
      </c>
      <c r="E172" s="11" t="s">
        <v>81</v>
      </c>
      <c r="F172" s="38">
        <v>260.36</v>
      </c>
      <c r="G172" s="38">
        <v>0</v>
      </c>
      <c r="H172" s="38">
        <f>F172*AE172</f>
        <v>0</v>
      </c>
      <c r="I172" s="38">
        <f>J172-H172</f>
        <v>0</v>
      </c>
      <c r="J172" s="38">
        <f>F172*G172</f>
        <v>0</v>
      </c>
      <c r="K172" s="38">
        <v>0.01782</v>
      </c>
      <c r="L172" s="38">
        <f>F172*K172</f>
        <v>4.6396152</v>
      </c>
      <c r="M172" s="39" t="s">
        <v>53</v>
      </c>
      <c r="P172" s="38">
        <f>IF(AG172="5",J172,0)</f>
        <v>0</v>
      </c>
      <c r="R172" s="38">
        <f>IF(AG172="1",H172,0)</f>
        <v>0</v>
      </c>
      <c r="S172" s="38">
        <f>IF(AG172="1",I172,0)</f>
        <v>0</v>
      </c>
      <c r="T172" s="38">
        <f>IF(AG172="7",H172,0)</f>
        <v>0</v>
      </c>
      <c r="U172" s="38">
        <f>IF(AG172="7",I172,0)</f>
        <v>0</v>
      </c>
      <c r="V172" s="38">
        <f>IF(AG172="2",H172,0)</f>
        <v>0</v>
      </c>
      <c r="W172" s="38">
        <f>IF(AG172="2",I172,0)</f>
        <v>0</v>
      </c>
      <c r="X172" s="38">
        <f>IF(AG172="0",J172,0)</f>
        <v>0</v>
      </c>
      <c r="Y172" s="32"/>
      <c r="Z172" s="38">
        <f>IF(AD172=0,J172,0)</f>
        <v>0</v>
      </c>
      <c r="AA172" s="38">
        <f>IF(AD172=15,J172,0)</f>
        <v>0</v>
      </c>
      <c r="AB172" s="38">
        <f>IF(AD172=21,J172,0)</f>
        <v>0</v>
      </c>
      <c r="AD172" s="38">
        <v>15</v>
      </c>
      <c r="AE172" s="38">
        <f>G172*0.59296943231441</f>
        <v>0</v>
      </c>
      <c r="AF172" s="38">
        <f>G172*(1-0.59296943231441)</f>
        <v>0</v>
      </c>
      <c r="AG172" s="39" t="s">
        <v>84</v>
      </c>
      <c r="AM172" s="38">
        <f>F172*AE172</f>
        <v>0</v>
      </c>
      <c r="AN172" s="38">
        <f>F172*AF172</f>
        <v>0</v>
      </c>
      <c r="AO172" s="39" t="s">
        <v>342</v>
      </c>
      <c r="AP172" s="39" t="s">
        <v>343</v>
      </c>
      <c r="AQ172" s="32" t="s">
        <v>55</v>
      </c>
      <c r="AS172" s="38">
        <f>AM172+AN172</f>
        <v>0</v>
      </c>
      <c r="AT172" s="38">
        <f>G172/(100-AU172)*100</f>
        <v>0</v>
      </c>
      <c r="AU172" s="38">
        <v>0</v>
      </c>
      <c r="AV172" s="38">
        <f>L172</f>
        <v>4.6396152</v>
      </c>
    </row>
    <row r="173" spans="4:6" ht="12.75">
      <c r="D173" s="40" t="s">
        <v>344</v>
      </c>
      <c r="F173" s="41">
        <v>260.36</v>
      </c>
    </row>
    <row r="174" spans="1:48" ht="12.75">
      <c r="A174" s="11" t="s">
        <v>345</v>
      </c>
      <c r="B174" s="11"/>
      <c r="C174" s="11" t="s">
        <v>346</v>
      </c>
      <c r="D174" s="11" t="s">
        <v>347</v>
      </c>
      <c r="E174" s="11" t="s">
        <v>301</v>
      </c>
      <c r="F174" s="38">
        <v>4.64</v>
      </c>
      <c r="G174" s="38">
        <v>0</v>
      </c>
      <c r="H174" s="38">
        <f>F174*AE174</f>
        <v>0</v>
      </c>
      <c r="I174" s="38">
        <f>J174-H174</f>
        <v>0</v>
      </c>
      <c r="J174" s="38">
        <f>F174*G174</f>
        <v>0</v>
      </c>
      <c r="K174" s="38">
        <v>0</v>
      </c>
      <c r="L174" s="38">
        <f>F174*K174</f>
        <v>0</v>
      </c>
      <c r="M174" s="39" t="s">
        <v>53</v>
      </c>
      <c r="P174" s="38">
        <f>IF(AG174="5",J174,0)</f>
        <v>0</v>
      </c>
      <c r="R174" s="38">
        <f>IF(AG174="1",H174,0)</f>
        <v>0</v>
      </c>
      <c r="S174" s="38">
        <f>IF(AG174="1",I174,0)</f>
        <v>0</v>
      </c>
      <c r="T174" s="38">
        <f>IF(AG174="7",H174,0)</f>
        <v>0</v>
      </c>
      <c r="U174" s="38">
        <f>IF(AG174="7",I174,0)</f>
        <v>0</v>
      </c>
      <c r="V174" s="38">
        <f>IF(AG174="2",H174,0)</f>
        <v>0</v>
      </c>
      <c r="W174" s="38">
        <f>IF(AG174="2",I174,0)</f>
        <v>0</v>
      </c>
      <c r="X174" s="38">
        <f>IF(AG174="0",J174,0)</f>
        <v>0</v>
      </c>
      <c r="Y174" s="32"/>
      <c r="Z174" s="38">
        <f>IF(AD174=0,J174,0)</f>
        <v>0</v>
      </c>
      <c r="AA174" s="38">
        <f>IF(AD174=15,J174,0)</f>
        <v>0</v>
      </c>
      <c r="AB174" s="38">
        <f>IF(AD174=21,J174,0)</f>
        <v>0</v>
      </c>
      <c r="AD174" s="38">
        <v>15</v>
      </c>
      <c r="AE174" s="38">
        <f>G174*0</f>
        <v>0</v>
      </c>
      <c r="AF174" s="38">
        <f>G174*(1-0)</f>
        <v>0</v>
      </c>
      <c r="AG174" s="39" t="s">
        <v>71</v>
      </c>
      <c r="AM174" s="38">
        <f>F174*AE174</f>
        <v>0</v>
      </c>
      <c r="AN174" s="38">
        <f>F174*AF174</f>
        <v>0</v>
      </c>
      <c r="AO174" s="39" t="s">
        <v>342</v>
      </c>
      <c r="AP174" s="39" t="s">
        <v>343</v>
      </c>
      <c r="AQ174" s="32" t="s">
        <v>55</v>
      </c>
      <c r="AS174" s="38">
        <f>AM174+AN174</f>
        <v>0</v>
      </c>
      <c r="AT174" s="38">
        <f>G174/(100-AU174)*100</f>
        <v>0</v>
      </c>
      <c r="AU174" s="38">
        <v>0</v>
      </c>
      <c r="AV174" s="38">
        <f>L174</f>
        <v>0</v>
      </c>
    </row>
    <row r="175" spans="4:6" ht="12.75">
      <c r="D175" s="40" t="s">
        <v>348</v>
      </c>
      <c r="F175" s="41">
        <v>4.64</v>
      </c>
    </row>
    <row r="176" spans="1:37" ht="12.75">
      <c r="A176" s="42"/>
      <c r="B176" s="43"/>
      <c r="C176" s="43" t="s">
        <v>349</v>
      </c>
      <c r="D176" s="43" t="s">
        <v>350</v>
      </c>
      <c r="E176" s="42" t="s">
        <v>4</v>
      </c>
      <c r="F176" s="42" t="s">
        <v>4</v>
      </c>
      <c r="G176" s="42" t="s">
        <v>4</v>
      </c>
      <c r="H176" s="37">
        <f>SUM(H177:H194)</f>
        <v>0</v>
      </c>
      <c r="I176" s="37">
        <f>SUM(I177:I194)</f>
        <v>0</v>
      </c>
      <c r="J176" s="37">
        <f>H176+I176</f>
        <v>0</v>
      </c>
      <c r="K176" s="32"/>
      <c r="L176" s="37">
        <f>SUM(L177:L194)</f>
        <v>1.7078666</v>
      </c>
      <c r="M176" s="32"/>
      <c r="Y176" s="32"/>
      <c r="AI176" s="37">
        <f>SUM(Z177:Z194)</f>
        <v>0</v>
      </c>
      <c r="AJ176" s="37">
        <f>SUM(AA177:AA194)</f>
        <v>0</v>
      </c>
      <c r="AK176" s="37">
        <f>SUM(AB177:AB194)</f>
        <v>0</v>
      </c>
    </row>
    <row r="177" spans="1:48" ht="12.75">
      <c r="A177" s="11" t="s">
        <v>351</v>
      </c>
      <c r="B177" s="11"/>
      <c r="C177" s="11" t="s">
        <v>352</v>
      </c>
      <c r="D177" s="11" t="s">
        <v>353</v>
      </c>
      <c r="E177" s="11" t="s">
        <v>114</v>
      </c>
      <c r="F177" s="38">
        <v>62.4</v>
      </c>
      <c r="G177" s="38">
        <v>0</v>
      </c>
      <c r="H177" s="38">
        <f>F177*AE177</f>
        <v>0</v>
      </c>
      <c r="I177" s="38">
        <f>J177-H177</f>
        <v>0</v>
      </c>
      <c r="J177" s="38">
        <f>F177*G177</f>
        <v>0</v>
      </c>
      <c r="K177" s="38">
        <v>0.00336</v>
      </c>
      <c r="L177" s="38">
        <f>F177*K177</f>
        <v>0.20966400000000002</v>
      </c>
      <c r="M177" s="39" t="s">
        <v>53</v>
      </c>
      <c r="P177" s="38">
        <f>IF(AG177="5",J177,0)</f>
        <v>0</v>
      </c>
      <c r="R177" s="38">
        <f>IF(AG177="1",H177,0)</f>
        <v>0</v>
      </c>
      <c r="S177" s="38">
        <f>IF(AG177="1",I177,0)</f>
        <v>0</v>
      </c>
      <c r="T177" s="38">
        <f>IF(AG177="7",H177,0)</f>
        <v>0</v>
      </c>
      <c r="U177" s="38">
        <f>IF(AG177="7",I177,0)</f>
        <v>0</v>
      </c>
      <c r="V177" s="38">
        <f>IF(AG177="2",H177,0)</f>
        <v>0</v>
      </c>
      <c r="W177" s="38">
        <f>IF(AG177="2",I177,0)</f>
        <v>0</v>
      </c>
      <c r="X177" s="38">
        <f>IF(AG177="0",J177,0)</f>
        <v>0</v>
      </c>
      <c r="Y177" s="32"/>
      <c r="Z177" s="38">
        <f>IF(AD177=0,J177,0)</f>
        <v>0</v>
      </c>
      <c r="AA177" s="38">
        <f>IF(AD177=15,J177,0)</f>
        <v>0</v>
      </c>
      <c r="AB177" s="38">
        <f>IF(AD177=21,J177,0)</f>
        <v>0</v>
      </c>
      <c r="AD177" s="38">
        <v>15</v>
      </c>
      <c r="AE177" s="38">
        <f>G177*0</f>
        <v>0</v>
      </c>
      <c r="AF177" s="38">
        <f>G177*(1-0)</f>
        <v>0</v>
      </c>
      <c r="AG177" s="39" t="s">
        <v>84</v>
      </c>
      <c r="AM177" s="38">
        <f>F177*AE177</f>
        <v>0</v>
      </c>
      <c r="AN177" s="38">
        <f>F177*AF177</f>
        <v>0</v>
      </c>
      <c r="AO177" s="39" t="s">
        <v>354</v>
      </c>
      <c r="AP177" s="39" t="s">
        <v>343</v>
      </c>
      <c r="AQ177" s="32" t="s">
        <v>55</v>
      </c>
      <c r="AS177" s="38">
        <f>AM177+AN177</f>
        <v>0</v>
      </c>
      <c r="AT177" s="38">
        <f>G177/(100-AU177)*100</f>
        <v>0</v>
      </c>
      <c r="AU177" s="38">
        <v>0</v>
      </c>
      <c r="AV177" s="38">
        <f>L177</f>
        <v>0.20966400000000002</v>
      </c>
    </row>
    <row r="178" spans="4:6" ht="12.75">
      <c r="D178" s="40" t="s">
        <v>355</v>
      </c>
      <c r="F178" s="41">
        <v>62.4</v>
      </c>
    </row>
    <row r="179" spans="1:48" ht="12.75">
      <c r="A179" s="11" t="s">
        <v>356</v>
      </c>
      <c r="B179" s="11"/>
      <c r="C179" s="11" t="s">
        <v>357</v>
      </c>
      <c r="D179" s="11" t="s">
        <v>358</v>
      </c>
      <c r="E179" s="11" t="s">
        <v>114</v>
      </c>
      <c r="F179" s="38">
        <v>93.05</v>
      </c>
      <c r="G179" s="38">
        <v>0</v>
      </c>
      <c r="H179" s="38">
        <f>F179*AE179</f>
        <v>0</v>
      </c>
      <c r="I179" s="38">
        <f>J179-H179</f>
        <v>0</v>
      </c>
      <c r="J179" s="38">
        <f>F179*G179</f>
        <v>0</v>
      </c>
      <c r="K179" s="38">
        <v>0.00243</v>
      </c>
      <c r="L179" s="38">
        <f>F179*K179</f>
        <v>0.2261115</v>
      </c>
      <c r="M179" s="39" t="s">
        <v>53</v>
      </c>
      <c r="P179" s="38">
        <f>IF(AG179="5",J179,0)</f>
        <v>0</v>
      </c>
      <c r="R179" s="38">
        <f>IF(AG179="1",H179,0)</f>
        <v>0</v>
      </c>
      <c r="S179" s="38">
        <f>IF(AG179="1",I179,0)</f>
        <v>0</v>
      </c>
      <c r="T179" s="38">
        <f>IF(AG179="7",H179,0)</f>
        <v>0</v>
      </c>
      <c r="U179" s="38">
        <f>IF(AG179="7",I179,0)</f>
        <v>0</v>
      </c>
      <c r="V179" s="38">
        <f>IF(AG179="2",H179,0)</f>
        <v>0</v>
      </c>
      <c r="W179" s="38">
        <f>IF(AG179="2",I179,0)</f>
        <v>0</v>
      </c>
      <c r="X179" s="38">
        <f>IF(AG179="0",J179,0)</f>
        <v>0</v>
      </c>
      <c r="Y179" s="32"/>
      <c r="Z179" s="38">
        <f>IF(AD179=0,J179,0)</f>
        <v>0</v>
      </c>
      <c r="AA179" s="38">
        <f>IF(AD179=15,J179,0)</f>
        <v>0</v>
      </c>
      <c r="AB179" s="38">
        <f>IF(AD179=21,J179,0)</f>
        <v>0</v>
      </c>
      <c r="AD179" s="38">
        <v>15</v>
      </c>
      <c r="AE179" s="38">
        <f>G179*0</f>
        <v>0</v>
      </c>
      <c r="AF179" s="38">
        <f>G179*(1-0)</f>
        <v>0</v>
      </c>
      <c r="AG179" s="39" t="s">
        <v>84</v>
      </c>
      <c r="AM179" s="38">
        <f>F179*AE179</f>
        <v>0</v>
      </c>
      <c r="AN179" s="38">
        <f>F179*AF179</f>
        <v>0</v>
      </c>
      <c r="AO179" s="39" t="s">
        <v>354</v>
      </c>
      <c r="AP179" s="39" t="s">
        <v>343</v>
      </c>
      <c r="AQ179" s="32" t="s">
        <v>55</v>
      </c>
      <c r="AS179" s="38">
        <f>AM179+AN179</f>
        <v>0</v>
      </c>
      <c r="AT179" s="38">
        <f>G179/(100-AU179)*100</f>
        <v>0</v>
      </c>
      <c r="AU179" s="38">
        <v>0</v>
      </c>
      <c r="AV179" s="38">
        <f>L179</f>
        <v>0.2261115</v>
      </c>
    </row>
    <row r="180" spans="4:6" ht="12.75">
      <c r="D180" s="40" t="s">
        <v>359</v>
      </c>
      <c r="F180" s="41">
        <v>93.05</v>
      </c>
    </row>
    <row r="181" spans="1:48" ht="12.75">
      <c r="A181" s="11" t="s">
        <v>360</v>
      </c>
      <c r="B181" s="11"/>
      <c r="C181" s="11" t="s">
        <v>361</v>
      </c>
      <c r="D181" s="11" t="s">
        <v>362</v>
      </c>
      <c r="E181" s="11" t="s">
        <v>114</v>
      </c>
      <c r="F181" s="38">
        <v>84.85</v>
      </c>
      <c r="G181" s="38">
        <v>0</v>
      </c>
      <c r="H181" s="38">
        <f>F181*AE181</f>
        <v>0</v>
      </c>
      <c r="I181" s="38">
        <f>J181-H181</f>
        <v>0</v>
      </c>
      <c r="J181" s="38">
        <f>F181*G181</f>
        <v>0</v>
      </c>
      <c r="K181" s="38">
        <v>0.00464</v>
      </c>
      <c r="L181" s="38">
        <f>F181*K181</f>
        <v>0.393704</v>
      </c>
      <c r="M181" s="39" t="s">
        <v>53</v>
      </c>
      <c r="P181" s="38">
        <f>IF(AG181="5",J181,0)</f>
        <v>0</v>
      </c>
      <c r="R181" s="38">
        <f>IF(AG181="1",H181,0)</f>
        <v>0</v>
      </c>
      <c r="S181" s="38">
        <f>IF(AG181="1",I181,0)</f>
        <v>0</v>
      </c>
      <c r="T181" s="38">
        <f>IF(AG181="7",H181,0)</f>
        <v>0</v>
      </c>
      <c r="U181" s="38">
        <f>IF(AG181="7",I181,0)</f>
        <v>0</v>
      </c>
      <c r="V181" s="38">
        <f>IF(AG181="2",H181,0)</f>
        <v>0</v>
      </c>
      <c r="W181" s="38">
        <f>IF(AG181="2",I181,0)</f>
        <v>0</v>
      </c>
      <c r="X181" s="38">
        <f>IF(AG181="0",J181,0)</f>
        <v>0</v>
      </c>
      <c r="Y181" s="32"/>
      <c r="Z181" s="38">
        <f>IF(AD181=0,J181,0)</f>
        <v>0</v>
      </c>
      <c r="AA181" s="38">
        <f>IF(AD181=15,J181,0)</f>
        <v>0</v>
      </c>
      <c r="AB181" s="38">
        <f>IF(AD181=21,J181,0)</f>
        <v>0</v>
      </c>
      <c r="AD181" s="38">
        <v>15</v>
      </c>
      <c r="AE181" s="38">
        <f>G181*0</f>
        <v>0</v>
      </c>
      <c r="AF181" s="38">
        <f>G181*(1-0)</f>
        <v>0</v>
      </c>
      <c r="AG181" s="39" t="s">
        <v>84</v>
      </c>
      <c r="AM181" s="38">
        <f>F181*AE181</f>
        <v>0</v>
      </c>
      <c r="AN181" s="38">
        <f>F181*AF181</f>
        <v>0</v>
      </c>
      <c r="AO181" s="39" t="s">
        <v>354</v>
      </c>
      <c r="AP181" s="39" t="s">
        <v>343</v>
      </c>
      <c r="AQ181" s="32" t="s">
        <v>55</v>
      </c>
      <c r="AS181" s="38">
        <f>AM181+AN181</f>
        <v>0</v>
      </c>
      <c r="AT181" s="38">
        <f>G181/(100-AU181)*100</f>
        <v>0</v>
      </c>
      <c r="AU181" s="38">
        <v>0</v>
      </c>
      <c r="AV181" s="38">
        <f>L181</f>
        <v>0.393704</v>
      </c>
    </row>
    <row r="182" spans="4:6" ht="12.75">
      <c r="D182" s="40" t="s">
        <v>363</v>
      </c>
      <c r="F182" s="41">
        <v>84.85</v>
      </c>
    </row>
    <row r="183" spans="1:48" ht="12.75">
      <c r="A183" s="11" t="s">
        <v>101</v>
      </c>
      <c r="B183" s="11"/>
      <c r="C183" s="11" t="s">
        <v>364</v>
      </c>
      <c r="D183" s="11" t="s">
        <v>365</v>
      </c>
      <c r="E183" s="11" t="s">
        <v>114</v>
      </c>
      <c r="F183" s="38">
        <v>81.35</v>
      </c>
      <c r="G183" s="38">
        <v>0</v>
      </c>
      <c r="H183" s="38">
        <f>F183*AE183</f>
        <v>0</v>
      </c>
      <c r="I183" s="38">
        <f>J183-H183</f>
        <v>0</v>
      </c>
      <c r="J183" s="38">
        <f>F183*G183</f>
        <v>0</v>
      </c>
      <c r="K183" s="38">
        <v>0.00158</v>
      </c>
      <c r="L183" s="38">
        <f>F183*K183</f>
        <v>0.12853299999999998</v>
      </c>
      <c r="M183" s="39" t="s">
        <v>53</v>
      </c>
      <c r="P183" s="38">
        <f>IF(AG183="5",J183,0)</f>
        <v>0</v>
      </c>
      <c r="R183" s="38">
        <f>IF(AG183="1",H183,0)</f>
        <v>0</v>
      </c>
      <c r="S183" s="38">
        <f>IF(AG183="1",I183,0)</f>
        <v>0</v>
      </c>
      <c r="T183" s="38">
        <f>IF(AG183="7",H183,0)</f>
        <v>0</v>
      </c>
      <c r="U183" s="38">
        <f>IF(AG183="7",I183,0)</f>
        <v>0</v>
      </c>
      <c r="V183" s="38">
        <f>IF(AG183="2",H183,0)</f>
        <v>0</v>
      </c>
      <c r="W183" s="38">
        <f>IF(AG183="2",I183,0)</f>
        <v>0</v>
      </c>
      <c r="X183" s="38">
        <f>IF(AG183="0",J183,0)</f>
        <v>0</v>
      </c>
      <c r="Y183" s="32"/>
      <c r="Z183" s="38">
        <f>IF(AD183=0,J183,0)</f>
        <v>0</v>
      </c>
      <c r="AA183" s="38">
        <f>IF(AD183=15,J183,0)</f>
        <v>0</v>
      </c>
      <c r="AB183" s="38">
        <f>IF(AD183=21,J183,0)</f>
        <v>0</v>
      </c>
      <c r="AD183" s="38">
        <v>15</v>
      </c>
      <c r="AE183" s="38">
        <f>G183*0</f>
        <v>0</v>
      </c>
      <c r="AF183" s="38">
        <f>G183*(1-0)</f>
        <v>0</v>
      </c>
      <c r="AG183" s="39" t="s">
        <v>84</v>
      </c>
      <c r="AM183" s="38">
        <f>F183*AE183</f>
        <v>0</v>
      </c>
      <c r="AN183" s="38">
        <f>F183*AF183</f>
        <v>0</v>
      </c>
      <c r="AO183" s="39" t="s">
        <v>354</v>
      </c>
      <c r="AP183" s="39" t="s">
        <v>343</v>
      </c>
      <c r="AQ183" s="32" t="s">
        <v>55</v>
      </c>
      <c r="AS183" s="38">
        <f>AM183+AN183</f>
        <v>0</v>
      </c>
      <c r="AT183" s="38">
        <f>G183/(100-AU183)*100</f>
        <v>0</v>
      </c>
      <c r="AU183" s="38">
        <v>0</v>
      </c>
      <c r="AV183" s="38">
        <f>L183</f>
        <v>0.12853299999999998</v>
      </c>
    </row>
    <row r="184" spans="4:6" ht="12.75">
      <c r="D184" s="40" t="s">
        <v>366</v>
      </c>
      <c r="F184" s="41">
        <v>81.35</v>
      </c>
    </row>
    <row r="185" spans="1:48" ht="12.75">
      <c r="A185" s="11" t="s">
        <v>367</v>
      </c>
      <c r="B185" s="11"/>
      <c r="C185" s="11" t="s">
        <v>368</v>
      </c>
      <c r="D185" s="11" t="s">
        <v>369</v>
      </c>
      <c r="E185" s="11" t="s">
        <v>114</v>
      </c>
      <c r="F185" s="38">
        <v>84.85</v>
      </c>
      <c r="G185" s="38">
        <v>0</v>
      </c>
      <c r="H185" s="38">
        <f>F185*AE185</f>
        <v>0</v>
      </c>
      <c r="I185" s="38">
        <f>J185-H185</f>
        <v>0</v>
      </c>
      <c r="J185" s="38">
        <f>F185*G185</f>
        <v>0</v>
      </c>
      <c r="K185" s="38">
        <v>0.00266</v>
      </c>
      <c r="L185" s="38">
        <f>F185*K185</f>
        <v>0.22570099999999998</v>
      </c>
      <c r="M185" s="39" t="s">
        <v>53</v>
      </c>
      <c r="P185" s="38">
        <f>IF(AG185="5",J185,0)</f>
        <v>0</v>
      </c>
      <c r="R185" s="38">
        <f>IF(AG185="1",H185,0)</f>
        <v>0</v>
      </c>
      <c r="S185" s="38">
        <f>IF(AG185="1",I185,0)</f>
        <v>0</v>
      </c>
      <c r="T185" s="38">
        <f>IF(AG185="7",H185,0)</f>
        <v>0</v>
      </c>
      <c r="U185" s="38">
        <f>IF(AG185="7",I185,0)</f>
        <v>0</v>
      </c>
      <c r="V185" s="38">
        <f>IF(AG185="2",H185,0)</f>
        <v>0</v>
      </c>
      <c r="W185" s="38">
        <f>IF(AG185="2",I185,0)</f>
        <v>0</v>
      </c>
      <c r="X185" s="38">
        <f>IF(AG185="0",J185,0)</f>
        <v>0</v>
      </c>
      <c r="Y185" s="32"/>
      <c r="Z185" s="38">
        <f>IF(AD185=0,J185,0)</f>
        <v>0</v>
      </c>
      <c r="AA185" s="38">
        <f>IF(AD185=15,J185,0)</f>
        <v>0</v>
      </c>
      <c r="AB185" s="38">
        <f>IF(AD185=21,J185,0)</f>
        <v>0</v>
      </c>
      <c r="AD185" s="38">
        <v>15</v>
      </c>
      <c r="AE185" s="38">
        <f>G185*0.706804281345566</f>
        <v>0</v>
      </c>
      <c r="AF185" s="38">
        <f>G185*(1-0.706804281345566)</f>
        <v>0</v>
      </c>
      <c r="AG185" s="39" t="s">
        <v>84</v>
      </c>
      <c r="AM185" s="38">
        <f>F185*AE185</f>
        <v>0</v>
      </c>
      <c r="AN185" s="38">
        <f>F185*AF185</f>
        <v>0</v>
      </c>
      <c r="AO185" s="39" t="s">
        <v>354</v>
      </c>
      <c r="AP185" s="39" t="s">
        <v>343</v>
      </c>
      <c r="AQ185" s="32" t="s">
        <v>55</v>
      </c>
      <c r="AS185" s="38">
        <f>AM185+AN185</f>
        <v>0</v>
      </c>
      <c r="AT185" s="38">
        <f>G185/(100-AU185)*100</f>
        <v>0</v>
      </c>
      <c r="AU185" s="38">
        <v>0</v>
      </c>
      <c r="AV185" s="38">
        <f>L185</f>
        <v>0.22570099999999998</v>
      </c>
    </row>
    <row r="186" spans="4:6" ht="12.75">
      <c r="D186" s="40" t="s">
        <v>370</v>
      </c>
      <c r="F186" s="41">
        <v>84.85</v>
      </c>
    </row>
    <row r="187" spans="1:48" ht="12.75">
      <c r="A187" s="11" t="s">
        <v>109</v>
      </c>
      <c r="B187" s="11"/>
      <c r="C187" s="11" t="s">
        <v>371</v>
      </c>
      <c r="D187" s="11" t="s">
        <v>372</v>
      </c>
      <c r="E187" s="11" t="s">
        <v>114</v>
      </c>
      <c r="F187" s="38">
        <v>62.4</v>
      </c>
      <c r="G187" s="38">
        <v>0</v>
      </c>
      <c r="H187" s="38">
        <f>F187*AE187</f>
        <v>0</v>
      </c>
      <c r="I187" s="38">
        <f>J187-H187</f>
        <v>0</v>
      </c>
      <c r="J187" s="38">
        <f>F187*G187</f>
        <v>0</v>
      </c>
      <c r="K187" s="38">
        <v>0.00203</v>
      </c>
      <c r="L187" s="38">
        <f>F187*K187</f>
        <v>0.126672</v>
      </c>
      <c r="M187" s="39" t="s">
        <v>53</v>
      </c>
      <c r="P187" s="38">
        <f>IF(AG187="5",J187,0)</f>
        <v>0</v>
      </c>
      <c r="R187" s="38">
        <f>IF(AG187="1",H187,0)</f>
        <v>0</v>
      </c>
      <c r="S187" s="38">
        <f>IF(AG187="1",I187,0)</f>
        <v>0</v>
      </c>
      <c r="T187" s="38">
        <f>IF(AG187="7",H187,0)</f>
        <v>0</v>
      </c>
      <c r="U187" s="38">
        <f>IF(AG187="7",I187,0)</f>
        <v>0</v>
      </c>
      <c r="V187" s="38">
        <f>IF(AG187="2",H187,0)</f>
        <v>0</v>
      </c>
      <c r="W187" s="38">
        <f>IF(AG187="2",I187,0)</f>
        <v>0</v>
      </c>
      <c r="X187" s="38">
        <f>IF(AG187="0",J187,0)</f>
        <v>0</v>
      </c>
      <c r="Y187" s="32"/>
      <c r="Z187" s="38">
        <f>IF(AD187=0,J187,0)</f>
        <v>0</v>
      </c>
      <c r="AA187" s="38">
        <f>IF(AD187=15,J187,0)</f>
        <v>0</v>
      </c>
      <c r="AB187" s="38">
        <f>IF(AD187=21,J187,0)</f>
        <v>0</v>
      </c>
      <c r="AD187" s="38">
        <v>15</v>
      </c>
      <c r="AE187" s="38">
        <f>G187*0.763838723501125</f>
        <v>0</v>
      </c>
      <c r="AF187" s="38">
        <f>G187*(1-0.763838723501125)</f>
        <v>0</v>
      </c>
      <c r="AG187" s="39" t="s">
        <v>84</v>
      </c>
      <c r="AM187" s="38">
        <f>F187*AE187</f>
        <v>0</v>
      </c>
      <c r="AN187" s="38">
        <f>F187*AF187</f>
        <v>0</v>
      </c>
      <c r="AO187" s="39" t="s">
        <v>354</v>
      </c>
      <c r="AP187" s="39" t="s">
        <v>343</v>
      </c>
      <c r="AQ187" s="32" t="s">
        <v>55</v>
      </c>
      <c r="AS187" s="38">
        <f>AM187+AN187</f>
        <v>0</v>
      </c>
      <c r="AT187" s="38">
        <f>G187/(100-AU187)*100</f>
        <v>0</v>
      </c>
      <c r="AU187" s="38">
        <v>0</v>
      </c>
      <c r="AV187" s="38">
        <f>L187</f>
        <v>0.126672</v>
      </c>
    </row>
    <row r="188" spans="4:6" ht="12.75">
      <c r="D188" s="40" t="s">
        <v>373</v>
      </c>
      <c r="F188" s="41">
        <v>62.4</v>
      </c>
    </row>
    <row r="189" spans="1:48" ht="12.75">
      <c r="A189" s="11" t="s">
        <v>118</v>
      </c>
      <c r="B189" s="11"/>
      <c r="C189" s="11" t="s">
        <v>374</v>
      </c>
      <c r="D189" s="11" t="s">
        <v>375</v>
      </c>
      <c r="E189" s="11" t="s">
        <v>81</v>
      </c>
      <c r="F189" s="38">
        <v>3.92</v>
      </c>
      <c r="G189" s="38">
        <v>0</v>
      </c>
      <c r="H189" s="38">
        <f>F189*AE189</f>
        <v>0</v>
      </c>
      <c r="I189" s="38">
        <f>J189-H189</f>
        <v>0</v>
      </c>
      <c r="J189" s="38">
        <f>F189*G189</f>
        <v>0</v>
      </c>
      <c r="K189" s="38">
        <v>0.01903</v>
      </c>
      <c r="L189" s="38">
        <f>F189*K189</f>
        <v>0.07459759999999999</v>
      </c>
      <c r="M189" s="39" t="s">
        <v>53</v>
      </c>
      <c r="P189" s="38">
        <f>IF(AG189="5",J189,0)</f>
        <v>0</v>
      </c>
      <c r="R189" s="38">
        <f>IF(AG189="1",H189,0)</f>
        <v>0</v>
      </c>
      <c r="S189" s="38">
        <f>IF(AG189="1",I189,0)</f>
        <v>0</v>
      </c>
      <c r="T189" s="38">
        <f>IF(AG189="7",H189,0)</f>
        <v>0</v>
      </c>
      <c r="U189" s="38">
        <f>IF(AG189="7",I189,0)</f>
        <v>0</v>
      </c>
      <c r="V189" s="38">
        <f>IF(AG189="2",H189,0)</f>
        <v>0</v>
      </c>
      <c r="W189" s="38">
        <f>IF(AG189="2",I189,0)</f>
        <v>0</v>
      </c>
      <c r="X189" s="38">
        <f>IF(AG189="0",J189,0)</f>
        <v>0</v>
      </c>
      <c r="Y189" s="32"/>
      <c r="Z189" s="38">
        <f>IF(AD189=0,J189,0)</f>
        <v>0</v>
      </c>
      <c r="AA189" s="38">
        <f>IF(AD189=15,J189,0)</f>
        <v>0</v>
      </c>
      <c r="AB189" s="38">
        <f>IF(AD189=21,J189,0)</f>
        <v>0</v>
      </c>
      <c r="AD189" s="38">
        <v>15</v>
      </c>
      <c r="AE189" s="38">
        <f>G189*0.427395804034735</f>
        <v>0</v>
      </c>
      <c r="AF189" s="38">
        <f>G189*(1-0.427395804034735)</f>
        <v>0</v>
      </c>
      <c r="AG189" s="39" t="s">
        <v>84</v>
      </c>
      <c r="AM189" s="38">
        <f>F189*AE189</f>
        <v>0</v>
      </c>
      <c r="AN189" s="38">
        <f>F189*AF189</f>
        <v>0</v>
      </c>
      <c r="AO189" s="39" t="s">
        <v>354</v>
      </c>
      <c r="AP189" s="39" t="s">
        <v>343</v>
      </c>
      <c r="AQ189" s="32" t="s">
        <v>55</v>
      </c>
      <c r="AS189" s="38">
        <f>AM189+AN189</f>
        <v>0</v>
      </c>
      <c r="AT189" s="38">
        <f>G189/(100-AU189)*100</f>
        <v>0</v>
      </c>
      <c r="AU189" s="38">
        <v>0</v>
      </c>
      <c r="AV189" s="38">
        <f>L189</f>
        <v>0.07459759999999999</v>
      </c>
    </row>
    <row r="190" spans="4:6" ht="12.75">
      <c r="D190" s="40" t="s">
        <v>376</v>
      </c>
      <c r="F190" s="41">
        <v>3.92</v>
      </c>
    </row>
    <row r="191" spans="4:6" ht="12.75">
      <c r="D191" s="40" t="s">
        <v>377</v>
      </c>
      <c r="F191" s="41">
        <v>0</v>
      </c>
    </row>
    <row r="192" spans="1:48" ht="12.75">
      <c r="A192" s="11" t="s">
        <v>222</v>
      </c>
      <c r="B192" s="11"/>
      <c r="C192" s="11" t="s">
        <v>378</v>
      </c>
      <c r="D192" s="11" t="s">
        <v>379</v>
      </c>
      <c r="E192" s="11" t="s">
        <v>114</v>
      </c>
      <c r="F192" s="38">
        <v>93.05</v>
      </c>
      <c r="G192" s="38">
        <v>0</v>
      </c>
      <c r="H192" s="38">
        <f>F192*AE192</f>
        <v>0</v>
      </c>
      <c r="I192" s="38">
        <f>J192-H192</f>
        <v>0</v>
      </c>
      <c r="J192" s="38">
        <f>F192*G192</f>
        <v>0</v>
      </c>
      <c r="K192" s="38">
        <v>0.00347</v>
      </c>
      <c r="L192" s="38">
        <f>F192*K192</f>
        <v>0.3228835</v>
      </c>
      <c r="M192" s="39" t="s">
        <v>53</v>
      </c>
      <c r="P192" s="38">
        <f>IF(AG192="5",J192,0)</f>
        <v>0</v>
      </c>
      <c r="R192" s="38">
        <f>IF(AG192="1",H192,0)</f>
        <v>0</v>
      </c>
      <c r="S192" s="38">
        <f>IF(AG192="1",I192,0)</f>
        <v>0</v>
      </c>
      <c r="T192" s="38">
        <f>IF(AG192="7",H192,0)</f>
        <v>0</v>
      </c>
      <c r="U192" s="38">
        <f>IF(AG192="7",I192,0)</f>
        <v>0</v>
      </c>
      <c r="V192" s="38">
        <f>IF(AG192="2",H192,0)</f>
        <v>0</v>
      </c>
      <c r="W192" s="38">
        <f>IF(AG192="2",I192,0)</f>
        <v>0</v>
      </c>
      <c r="X192" s="38">
        <f>IF(AG192="0",J192,0)</f>
        <v>0</v>
      </c>
      <c r="Y192" s="32"/>
      <c r="Z192" s="38">
        <f>IF(AD192=0,J192,0)</f>
        <v>0</v>
      </c>
      <c r="AA192" s="38">
        <f>IF(AD192=15,J192,0)</f>
        <v>0</v>
      </c>
      <c r="AB192" s="38">
        <f>IF(AD192=21,J192,0)</f>
        <v>0</v>
      </c>
      <c r="AD192" s="38">
        <v>15</v>
      </c>
      <c r="AE192" s="38">
        <f>G192*0.32252066057271</f>
        <v>0</v>
      </c>
      <c r="AF192" s="38">
        <f>G192*(1-0.32252066057271)</f>
        <v>0</v>
      </c>
      <c r="AG192" s="39" t="s">
        <v>84</v>
      </c>
      <c r="AM192" s="38">
        <f>F192*AE192</f>
        <v>0</v>
      </c>
      <c r="AN192" s="38">
        <f>F192*AF192</f>
        <v>0</v>
      </c>
      <c r="AO192" s="39" t="s">
        <v>354</v>
      </c>
      <c r="AP192" s="39" t="s">
        <v>343</v>
      </c>
      <c r="AQ192" s="32" t="s">
        <v>55</v>
      </c>
      <c r="AS192" s="38">
        <f>AM192+AN192</f>
        <v>0</v>
      </c>
      <c r="AT192" s="38">
        <f>G192/(100-AU192)*100</f>
        <v>0</v>
      </c>
      <c r="AU192" s="38">
        <v>0</v>
      </c>
      <c r="AV192" s="38">
        <f>L192</f>
        <v>0.3228835</v>
      </c>
    </row>
    <row r="193" spans="4:6" ht="12.75">
      <c r="D193" s="40" t="s">
        <v>380</v>
      </c>
      <c r="F193" s="41">
        <v>93.05</v>
      </c>
    </row>
    <row r="194" spans="1:48" ht="12.75">
      <c r="A194" s="11" t="s">
        <v>237</v>
      </c>
      <c r="B194" s="11"/>
      <c r="C194" s="11" t="s">
        <v>381</v>
      </c>
      <c r="D194" s="11" t="s">
        <v>382</v>
      </c>
      <c r="E194" s="11" t="s">
        <v>301</v>
      </c>
      <c r="F194" s="38">
        <v>1.71</v>
      </c>
      <c r="G194" s="38">
        <v>0</v>
      </c>
      <c r="H194" s="38">
        <f>F194*AE194</f>
        <v>0</v>
      </c>
      <c r="I194" s="38">
        <f>J194-H194</f>
        <v>0</v>
      </c>
      <c r="J194" s="38">
        <f>F194*G194</f>
        <v>0</v>
      </c>
      <c r="K194" s="38">
        <v>0</v>
      </c>
      <c r="L194" s="38">
        <f>F194*K194</f>
        <v>0</v>
      </c>
      <c r="M194" s="39" t="s">
        <v>53</v>
      </c>
      <c r="P194" s="38">
        <f>IF(AG194="5",J194,0)</f>
        <v>0</v>
      </c>
      <c r="R194" s="38">
        <f>IF(AG194="1",H194,0)</f>
        <v>0</v>
      </c>
      <c r="S194" s="38">
        <f>IF(AG194="1",I194,0)</f>
        <v>0</v>
      </c>
      <c r="T194" s="38">
        <f>IF(AG194="7",H194,0)</f>
        <v>0</v>
      </c>
      <c r="U194" s="38">
        <f>IF(AG194="7",I194,0)</f>
        <v>0</v>
      </c>
      <c r="V194" s="38">
        <f>IF(AG194="2",H194,0)</f>
        <v>0</v>
      </c>
      <c r="W194" s="38">
        <f>IF(AG194="2",I194,0)</f>
        <v>0</v>
      </c>
      <c r="X194" s="38">
        <f>IF(AG194="0",J194,0)</f>
        <v>0</v>
      </c>
      <c r="Y194" s="32"/>
      <c r="Z194" s="38">
        <f>IF(AD194=0,J194,0)</f>
        <v>0</v>
      </c>
      <c r="AA194" s="38">
        <f>IF(AD194=15,J194,0)</f>
        <v>0</v>
      </c>
      <c r="AB194" s="38">
        <f>IF(AD194=21,J194,0)</f>
        <v>0</v>
      </c>
      <c r="AD194" s="38">
        <v>15</v>
      </c>
      <c r="AE194" s="38">
        <f>G194*0</f>
        <v>0</v>
      </c>
      <c r="AF194" s="38">
        <f>G194*(1-0)</f>
        <v>0</v>
      </c>
      <c r="AG194" s="39" t="s">
        <v>71</v>
      </c>
      <c r="AM194" s="38">
        <f>F194*AE194</f>
        <v>0</v>
      </c>
      <c r="AN194" s="38">
        <f>F194*AF194</f>
        <v>0</v>
      </c>
      <c r="AO194" s="39" t="s">
        <v>354</v>
      </c>
      <c r="AP194" s="39" t="s">
        <v>343</v>
      </c>
      <c r="AQ194" s="32" t="s">
        <v>55</v>
      </c>
      <c r="AS194" s="38">
        <f>AM194+AN194</f>
        <v>0</v>
      </c>
      <c r="AT194" s="38">
        <f>G194/(100-AU194)*100</f>
        <v>0</v>
      </c>
      <c r="AU194" s="38">
        <v>0</v>
      </c>
      <c r="AV194" s="38">
        <f>L194</f>
        <v>0</v>
      </c>
    </row>
    <row r="195" spans="4:6" ht="12.75">
      <c r="D195" s="40" t="s">
        <v>383</v>
      </c>
      <c r="F195" s="41">
        <v>1.71</v>
      </c>
    </row>
    <row r="196" spans="1:37" ht="12.75">
      <c r="A196" s="42"/>
      <c r="B196" s="43"/>
      <c r="C196" s="43" t="s">
        <v>384</v>
      </c>
      <c r="D196" s="43" t="s">
        <v>385</v>
      </c>
      <c r="E196" s="42" t="s">
        <v>4</v>
      </c>
      <c r="F196" s="42" t="s">
        <v>4</v>
      </c>
      <c r="G196" s="42" t="s">
        <v>4</v>
      </c>
      <c r="H196" s="37">
        <f>SUM(H197:H215)</f>
        <v>0</v>
      </c>
      <c r="I196" s="37">
        <f>SUM(I197:I215)</f>
        <v>0</v>
      </c>
      <c r="J196" s="37">
        <f>H196+I196</f>
        <v>0</v>
      </c>
      <c r="K196" s="32"/>
      <c r="L196" s="37">
        <f>SUM(L197:L215)</f>
        <v>0.2519616</v>
      </c>
      <c r="M196" s="32"/>
      <c r="Y196" s="32"/>
      <c r="AI196" s="37">
        <f>SUM(Z197:Z215)</f>
        <v>0</v>
      </c>
      <c r="AJ196" s="37">
        <f>SUM(AA197:AA215)</f>
        <v>0</v>
      </c>
      <c r="AK196" s="37">
        <f>SUM(AB197:AB215)</f>
        <v>0</v>
      </c>
    </row>
    <row r="197" spans="1:48" ht="12.75">
      <c r="A197" s="11" t="s">
        <v>386</v>
      </c>
      <c r="B197" s="11"/>
      <c r="C197" s="11" t="s">
        <v>387</v>
      </c>
      <c r="D197" s="11" t="s">
        <v>388</v>
      </c>
      <c r="E197" s="11" t="s">
        <v>99</v>
      </c>
      <c r="F197" s="38">
        <v>24</v>
      </c>
      <c r="G197" s="38">
        <v>0</v>
      </c>
      <c r="H197" s="38">
        <f>F197*AE197</f>
        <v>0</v>
      </c>
      <c r="I197" s="38">
        <f>J197-H197</f>
        <v>0</v>
      </c>
      <c r="J197" s="38">
        <f>F197*G197</f>
        <v>0</v>
      </c>
      <c r="K197" s="38">
        <v>0.00105</v>
      </c>
      <c r="L197" s="38">
        <f>F197*K197</f>
        <v>0.0252</v>
      </c>
      <c r="M197" s="39" t="s">
        <v>53</v>
      </c>
      <c r="P197" s="38">
        <f>IF(AG197="5",J197,0)</f>
        <v>0</v>
      </c>
      <c r="R197" s="38">
        <f>IF(AG197="1",H197,0)</f>
        <v>0</v>
      </c>
      <c r="S197" s="38">
        <f>IF(AG197="1",I197,0)</f>
        <v>0</v>
      </c>
      <c r="T197" s="38">
        <f>IF(AG197="7",H197,0)</f>
        <v>0</v>
      </c>
      <c r="U197" s="38">
        <f>IF(AG197="7",I197,0)</f>
        <v>0</v>
      </c>
      <c r="V197" s="38">
        <f>IF(AG197="2",H197,0)</f>
        <v>0</v>
      </c>
      <c r="W197" s="38">
        <f>IF(AG197="2",I197,0)</f>
        <v>0</v>
      </c>
      <c r="X197" s="38">
        <f>IF(AG197="0",J197,0)</f>
        <v>0</v>
      </c>
      <c r="Y197" s="32"/>
      <c r="Z197" s="38">
        <f>IF(AD197=0,J197,0)</f>
        <v>0</v>
      </c>
      <c r="AA197" s="38">
        <f>IF(AD197=15,J197,0)</f>
        <v>0</v>
      </c>
      <c r="AB197" s="38">
        <f>IF(AD197=21,J197,0)</f>
        <v>0</v>
      </c>
      <c r="AD197" s="38">
        <v>15</v>
      </c>
      <c r="AE197" s="38">
        <f>G197*0.660149608976539</f>
        <v>0</v>
      </c>
      <c r="AF197" s="38">
        <f>G197*(1-0.660149608976539)</f>
        <v>0</v>
      </c>
      <c r="AG197" s="39" t="s">
        <v>84</v>
      </c>
      <c r="AM197" s="38">
        <f>F197*AE197</f>
        <v>0</v>
      </c>
      <c r="AN197" s="38">
        <f>F197*AF197</f>
        <v>0</v>
      </c>
      <c r="AO197" s="39" t="s">
        <v>389</v>
      </c>
      <c r="AP197" s="39" t="s">
        <v>343</v>
      </c>
      <c r="AQ197" s="32" t="s">
        <v>55</v>
      </c>
      <c r="AS197" s="38">
        <f>AM197+AN197</f>
        <v>0</v>
      </c>
      <c r="AT197" s="38">
        <f>G197/(100-AU197)*100</f>
        <v>0</v>
      </c>
      <c r="AU197" s="38">
        <v>0</v>
      </c>
      <c r="AV197" s="38">
        <f>L197</f>
        <v>0.0252</v>
      </c>
    </row>
    <row r="198" spans="4:6" ht="12.75">
      <c r="D198" s="40" t="s">
        <v>390</v>
      </c>
      <c r="F198" s="41">
        <v>24</v>
      </c>
    </row>
    <row r="199" spans="1:48" ht="12.75">
      <c r="A199" s="11" t="s">
        <v>391</v>
      </c>
      <c r="B199" s="11"/>
      <c r="C199" s="11" t="s">
        <v>392</v>
      </c>
      <c r="D199" s="11" t="s">
        <v>393</v>
      </c>
      <c r="E199" s="11" t="s">
        <v>99</v>
      </c>
      <c r="F199" s="38">
        <v>7</v>
      </c>
      <c r="G199" s="38">
        <v>0</v>
      </c>
      <c r="H199" s="38">
        <f>F199*AE199</f>
        <v>0</v>
      </c>
      <c r="I199" s="38">
        <f>J199-H199</f>
        <v>0</v>
      </c>
      <c r="J199" s="38">
        <f>F199*G199</f>
        <v>0</v>
      </c>
      <c r="K199" s="38">
        <v>0.018</v>
      </c>
      <c r="L199" s="38">
        <f>F199*K199</f>
        <v>0.126</v>
      </c>
      <c r="M199" s="39" t="s">
        <v>53</v>
      </c>
      <c r="P199" s="38">
        <f>IF(AG199="5",J199,0)</f>
        <v>0</v>
      </c>
      <c r="R199" s="38">
        <f>IF(AG199="1",H199,0)</f>
        <v>0</v>
      </c>
      <c r="S199" s="38">
        <f>IF(AG199="1",I199,0)</f>
        <v>0</v>
      </c>
      <c r="T199" s="38">
        <f>IF(AG199="7",H199,0)</f>
        <v>0</v>
      </c>
      <c r="U199" s="38">
        <f>IF(AG199="7",I199,0)</f>
        <v>0</v>
      </c>
      <c r="V199" s="38">
        <f>IF(AG199="2",H199,0)</f>
        <v>0</v>
      </c>
      <c r="W199" s="38">
        <f>IF(AG199="2",I199,0)</f>
        <v>0</v>
      </c>
      <c r="X199" s="38">
        <f>IF(AG199="0",J199,0)</f>
        <v>0</v>
      </c>
      <c r="Y199" s="32"/>
      <c r="Z199" s="38">
        <f>IF(AD199=0,J199,0)</f>
        <v>0</v>
      </c>
      <c r="AA199" s="38">
        <f>IF(AD199=15,J199,0)</f>
        <v>0</v>
      </c>
      <c r="AB199" s="38">
        <f>IF(AD199=21,J199,0)</f>
        <v>0</v>
      </c>
      <c r="AD199" s="38">
        <v>15</v>
      </c>
      <c r="AE199" s="38">
        <f>G199*0.499609247802019</f>
        <v>0</v>
      </c>
      <c r="AF199" s="38">
        <f>G199*(1-0.499609247802019)</f>
        <v>0</v>
      </c>
      <c r="AG199" s="39" t="s">
        <v>84</v>
      </c>
      <c r="AM199" s="38">
        <f>F199*AE199</f>
        <v>0</v>
      </c>
      <c r="AN199" s="38">
        <f>F199*AF199</f>
        <v>0</v>
      </c>
      <c r="AO199" s="39" t="s">
        <v>389</v>
      </c>
      <c r="AP199" s="39" t="s">
        <v>343</v>
      </c>
      <c r="AQ199" s="32" t="s">
        <v>55</v>
      </c>
      <c r="AS199" s="38">
        <f>AM199+AN199</f>
        <v>0</v>
      </c>
      <c r="AT199" s="38">
        <f>G199/(100-AU199)*100</f>
        <v>0</v>
      </c>
      <c r="AU199" s="38">
        <v>0</v>
      </c>
      <c r="AV199" s="38">
        <f>L199</f>
        <v>0.126</v>
      </c>
    </row>
    <row r="200" spans="4:6" ht="12.75">
      <c r="D200" s="40" t="s">
        <v>394</v>
      </c>
      <c r="F200" s="41">
        <v>7</v>
      </c>
    </row>
    <row r="201" spans="1:48" ht="12.75">
      <c r="A201" s="11" t="s">
        <v>395</v>
      </c>
      <c r="B201" s="11"/>
      <c r="C201" s="11" t="s">
        <v>396</v>
      </c>
      <c r="D201" s="11" t="s">
        <v>397</v>
      </c>
      <c r="E201" s="11" t="s">
        <v>99</v>
      </c>
      <c r="F201" s="38">
        <v>7</v>
      </c>
      <c r="G201" s="38">
        <v>0</v>
      </c>
      <c r="H201" s="38">
        <f>F201*AE201</f>
        <v>0</v>
      </c>
      <c r="I201" s="38">
        <f>J201-H201</f>
        <v>0</v>
      </c>
      <c r="J201" s="38">
        <f>F201*G201</f>
        <v>0</v>
      </c>
      <c r="K201" s="38">
        <v>0.00658</v>
      </c>
      <c r="L201" s="38">
        <f>F201*K201</f>
        <v>0.04606</v>
      </c>
      <c r="M201" s="39" t="s">
        <v>53</v>
      </c>
      <c r="P201" s="38">
        <f>IF(AG201="5",J201,0)</f>
        <v>0</v>
      </c>
      <c r="R201" s="38">
        <f>IF(AG201="1",H201,0)</f>
        <v>0</v>
      </c>
      <c r="S201" s="38">
        <f>IF(AG201="1",I201,0)</f>
        <v>0</v>
      </c>
      <c r="T201" s="38">
        <f>IF(AG201="7",H201,0)</f>
        <v>0</v>
      </c>
      <c r="U201" s="38">
        <f>IF(AG201="7",I201,0)</f>
        <v>0</v>
      </c>
      <c r="V201" s="38">
        <f>IF(AG201="2",H201,0)</f>
        <v>0</v>
      </c>
      <c r="W201" s="38">
        <f>IF(AG201="2",I201,0)</f>
        <v>0</v>
      </c>
      <c r="X201" s="38">
        <f>IF(AG201="0",J201,0)</f>
        <v>0</v>
      </c>
      <c r="Y201" s="32"/>
      <c r="Z201" s="38">
        <f>IF(AD201=0,J201,0)</f>
        <v>0</v>
      </c>
      <c r="AA201" s="38">
        <f>IF(AD201=15,J201,0)</f>
        <v>0</v>
      </c>
      <c r="AB201" s="38">
        <f>IF(AD201=21,J201,0)</f>
        <v>0</v>
      </c>
      <c r="AD201" s="38">
        <v>15</v>
      </c>
      <c r="AE201" s="38">
        <f>G201*0.57894080552933</f>
        <v>0</v>
      </c>
      <c r="AF201" s="38">
        <f>G201*(1-0.57894080552933)</f>
        <v>0</v>
      </c>
      <c r="AG201" s="39" t="s">
        <v>84</v>
      </c>
      <c r="AM201" s="38">
        <f>F201*AE201</f>
        <v>0</v>
      </c>
      <c r="AN201" s="38">
        <f>F201*AF201</f>
        <v>0</v>
      </c>
      <c r="AO201" s="39" t="s">
        <v>389</v>
      </c>
      <c r="AP201" s="39" t="s">
        <v>343</v>
      </c>
      <c r="AQ201" s="32" t="s">
        <v>55</v>
      </c>
      <c r="AS201" s="38">
        <f>AM201+AN201</f>
        <v>0</v>
      </c>
      <c r="AT201" s="38">
        <f>G201/(100-AU201)*100</f>
        <v>0</v>
      </c>
      <c r="AU201" s="38">
        <v>0</v>
      </c>
      <c r="AV201" s="38">
        <f>L201</f>
        <v>0.04606</v>
      </c>
    </row>
    <row r="202" spans="4:6" ht="12.75">
      <c r="D202" s="40" t="s">
        <v>398</v>
      </c>
      <c r="F202" s="41">
        <v>7</v>
      </c>
    </row>
    <row r="203" spans="1:48" ht="12.75">
      <c r="A203" s="11" t="s">
        <v>399</v>
      </c>
      <c r="B203" s="11"/>
      <c r="C203" s="11" t="s">
        <v>400</v>
      </c>
      <c r="D203" s="11" t="s">
        <v>401</v>
      </c>
      <c r="E203" s="11" t="s">
        <v>114</v>
      </c>
      <c r="F203" s="38">
        <v>2.5</v>
      </c>
      <c r="G203" s="38">
        <v>0</v>
      </c>
      <c r="H203" s="38">
        <f>F203*AE203</f>
        <v>0</v>
      </c>
      <c r="I203" s="38">
        <f>J203-H203</f>
        <v>0</v>
      </c>
      <c r="J203" s="38">
        <f>F203*G203</f>
        <v>0</v>
      </c>
      <c r="K203" s="38">
        <v>0</v>
      </c>
      <c r="L203" s="38">
        <f>F203*K203</f>
        <v>0</v>
      </c>
      <c r="M203" s="39" t="s">
        <v>53</v>
      </c>
      <c r="P203" s="38">
        <f>IF(AG203="5",J203,0)</f>
        <v>0</v>
      </c>
      <c r="R203" s="38">
        <f>IF(AG203="1",H203,0)</f>
        <v>0</v>
      </c>
      <c r="S203" s="38">
        <f>IF(AG203="1",I203,0)</f>
        <v>0</v>
      </c>
      <c r="T203" s="38">
        <f>IF(AG203="7",H203,0)</f>
        <v>0</v>
      </c>
      <c r="U203" s="38">
        <f>IF(AG203="7",I203,0)</f>
        <v>0</v>
      </c>
      <c r="V203" s="38">
        <f>IF(AG203="2",H203,0)</f>
        <v>0</v>
      </c>
      <c r="W203" s="38">
        <f>IF(AG203="2",I203,0)</f>
        <v>0</v>
      </c>
      <c r="X203" s="38">
        <f>IF(AG203="0",J203,0)</f>
        <v>0</v>
      </c>
      <c r="Y203" s="32"/>
      <c r="Z203" s="38">
        <f>IF(AD203=0,J203,0)</f>
        <v>0</v>
      </c>
      <c r="AA203" s="38">
        <f>IF(AD203=15,J203,0)</f>
        <v>0</v>
      </c>
      <c r="AB203" s="38">
        <f>IF(AD203=21,J203,0)</f>
        <v>0</v>
      </c>
      <c r="AD203" s="38">
        <v>15</v>
      </c>
      <c r="AE203" s="38">
        <f>G203*0.687022900763359</f>
        <v>0</v>
      </c>
      <c r="AF203" s="38">
        <f>G203*(1-0.687022900763359)</f>
        <v>0</v>
      </c>
      <c r="AG203" s="39" t="s">
        <v>84</v>
      </c>
      <c r="AM203" s="38">
        <f>F203*AE203</f>
        <v>0</v>
      </c>
      <c r="AN203" s="38">
        <f>F203*AF203</f>
        <v>0</v>
      </c>
      <c r="AO203" s="39" t="s">
        <v>389</v>
      </c>
      <c r="AP203" s="39" t="s">
        <v>343</v>
      </c>
      <c r="AQ203" s="32" t="s">
        <v>55</v>
      </c>
      <c r="AS203" s="38">
        <f>AM203+AN203</f>
        <v>0</v>
      </c>
      <c r="AT203" s="38">
        <f>G203/(100-AU203)*100</f>
        <v>0</v>
      </c>
      <c r="AU203" s="38">
        <v>0</v>
      </c>
      <c r="AV203" s="38">
        <f>L203</f>
        <v>0</v>
      </c>
    </row>
    <row r="204" spans="4:6" ht="12.75">
      <c r="D204" s="40" t="s">
        <v>402</v>
      </c>
      <c r="F204" s="41">
        <v>2.5</v>
      </c>
    </row>
    <row r="205" spans="1:48" ht="12.75">
      <c r="A205" s="11" t="s">
        <v>403</v>
      </c>
      <c r="B205" s="11"/>
      <c r="C205" s="11" t="s">
        <v>404</v>
      </c>
      <c r="D205" s="11" t="s">
        <v>405</v>
      </c>
      <c r="E205" s="11" t="s">
        <v>406</v>
      </c>
      <c r="F205" s="38">
        <v>39.36</v>
      </c>
      <c r="G205" s="38">
        <v>0</v>
      </c>
      <c r="H205" s="38">
        <f>F205*AE205</f>
        <v>0</v>
      </c>
      <c r="I205" s="38">
        <f>J205-H205</f>
        <v>0</v>
      </c>
      <c r="J205" s="38">
        <f>F205*G205</f>
        <v>0</v>
      </c>
      <c r="K205" s="38">
        <v>0.00106</v>
      </c>
      <c r="L205" s="38">
        <f>F205*K205</f>
        <v>0.0417216</v>
      </c>
      <c r="M205" s="39" t="s">
        <v>53</v>
      </c>
      <c r="P205" s="38">
        <f>IF(AG205="5",J205,0)</f>
        <v>0</v>
      </c>
      <c r="R205" s="38">
        <f>IF(AG205="1",H205,0)</f>
        <v>0</v>
      </c>
      <c r="S205" s="38">
        <f>IF(AG205="1",I205,0)</f>
        <v>0</v>
      </c>
      <c r="T205" s="38">
        <f>IF(AG205="7",H205,0)</f>
        <v>0</v>
      </c>
      <c r="U205" s="38">
        <f>IF(AG205="7",I205,0)</f>
        <v>0</v>
      </c>
      <c r="V205" s="38">
        <f>IF(AG205="2",H205,0)</f>
        <v>0</v>
      </c>
      <c r="W205" s="38">
        <f>IF(AG205="2",I205,0)</f>
        <v>0</v>
      </c>
      <c r="X205" s="38">
        <f>IF(AG205="0",J205,0)</f>
        <v>0</v>
      </c>
      <c r="Y205" s="32"/>
      <c r="Z205" s="38">
        <f>IF(AD205=0,J205,0)</f>
        <v>0</v>
      </c>
      <c r="AA205" s="38">
        <f>IF(AD205=15,J205,0)</f>
        <v>0</v>
      </c>
      <c r="AB205" s="38">
        <f>IF(AD205=21,J205,0)</f>
        <v>0</v>
      </c>
      <c r="AD205" s="38">
        <v>15</v>
      </c>
      <c r="AE205" s="38">
        <f>G205*0.164102385928721</f>
        <v>0</v>
      </c>
      <c r="AF205" s="38">
        <f>G205*(1-0.164102385928721)</f>
        <v>0</v>
      </c>
      <c r="AG205" s="39" t="s">
        <v>84</v>
      </c>
      <c r="AM205" s="38">
        <f>F205*AE205</f>
        <v>0</v>
      </c>
      <c r="AN205" s="38">
        <f>F205*AF205</f>
        <v>0</v>
      </c>
      <c r="AO205" s="39" t="s">
        <v>389</v>
      </c>
      <c r="AP205" s="39" t="s">
        <v>343</v>
      </c>
      <c r="AQ205" s="32" t="s">
        <v>55</v>
      </c>
      <c r="AS205" s="38">
        <f>AM205+AN205</f>
        <v>0</v>
      </c>
      <c r="AT205" s="38">
        <f>G205/(100-AU205)*100</f>
        <v>0</v>
      </c>
      <c r="AU205" s="38">
        <v>0</v>
      </c>
      <c r="AV205" s="38">
        <f>L205</f>
        <v>0.0417216</v>
      </c>
    </row>
    <row r="206" spans="4:6" ht="12.75">
      <c r="D206" s="40" t="s">
        <v>407</v>
      </c>
      <c r="F206" s="41">
        <v>39.36</v>
      </c>
    </row>
    <row r="207" spans="1:48" ht="12.75">
      <c r="A207" s="11" t="s">
        <v>408</v>
      </c>
      <c r="B207" s="11"/>
      <c r="C207" s="11" t="s">
        <v>409</v>
      </c>
      <c r="D207" s="11" t="s">
        <v>410</v>
      </c>
      <c r="E207" s="11" t="s">
        <v>99</v>
      </c>
      <c r="F207" s="38">
        <v>11</v>
      </c>
      <c r="G207" s="38">
        <v>0</v>
      </c>
      <c r="H207" s="38">
        <f>F207*AE207</f>
        <v>0</v>
      </c>
      <c r="I207" s="38">
        <f>J207-H207</f>
        <v>0</v>
      </c>
      <c r="J207" s="38">
        <f>F207*G207</f>
        <v>0</v>
      </c>
      <c r="K207" s="38">
        <v>0.00106</v>
      </c>
      <c r="L207" s="38">
        <f>F207*K207</f>
        <v>0.01166</v>
      </c>
      <c r="M207" s="39" t="s">
        <v>53</v>
      </c>
      <c r="P207" s="38">
        <f>IF(AG207="5",J207,0)</f>
        <v>0</v>
      </c>
      <c r="R207" s="38">
        <f>IF(AG207="1",H207,0)</f>
        <v>0</v>
      </c>
      <c r="S207" s="38">
        <f>IF(AG207="1",I207,0)</f>
        <v>0</v>
      </c>
      <c r="T207" s="38">
        <f>IF(AG207="7",H207,0)</f>
        <v>0</v>
      </c>
      <c r="U207" s="38">
        <f>IF(AG207="7",I207,0)</f>
        <v>0</v>
      </c>
      <c r="V207" s="38">
        <f>IF(AG207="2",H207,0)</f>
        <v>0</v>
      </c>
      <c r="W207" s="38">
        <f>IF(AG207="2",I207,0)</f>
        <v>0</v>
      </c>
      <c r="X207" s="38">
        <f>IF(AG207="0",J207,0)</f>
        <v>0</v>
      </c>
      <c r="Y207" s="32"/>
      <c r="Z207" s="38">
        <f>IF(AD207=0,J207,0)</f>
        <v>0</v>
      </c>
      <c r="AA207" s="38">
        <f>IF(AD207=15,J207,0)</f>
        <v>0</v>
      </c>
      <c r="AB207" s="38">
        <f>IF(AD207=21,J207,0)</f>
        <v>0</v>
      </c>
      <c r="AD207" s="38">
        <v>15</v>
      </c>
      <c r="AE207" s="38">
        <f>G207*0.164090177133655</f>
        <v>0</v>
      </c>
      <c r="AF207" s="38">
        <f>G207*(1-0.164090177133655)</f>
        <v>0</v>
      </c>
      <c r="AG207" s="39" t="s">
        <v>84</v>
      </c>
      <c r="AM207" s="38">
        <f>F207*AE207</f>
        <v>0</v>
      </c>
      <c r="AN207" s="38">
        <f>F207*AF207</f>
        <v>0</v>
      </c>
      <c r="AO207" s="39" t="s">
        <v>389</v>
      </c>
      <c r="AP207" s="39" t="s">
        <v>343</v>
      </c>
      <c r="AQ207" s="32" t="s">
        <v>55</v>
      </c>
      <c r="AS207" s="38">
        <f>AM207+AN207</f>
        <v>0</v>
      </c>
      <c r="AT207" s="38">
        <f>G207/(100-AU207)*100</f>
        <v>0</v>
      </c>
      <c r="AU207" s="38">
        <v>0</v>
      </c>
      <c r="AV207" s="38">
        <f>L207</f>
        <v>0.01166</v>
      </c>
    </row>
    <row r="208" spans="4:6" ht="12.75">
      <c r="D208" s="40" t="s">
        <v>411</v>
      </c>
      <c r="F208" s="41">
        <v>9</v>
      </c>
    </row>
    <row r="209" spans="4:6" ht="12.75">
      <c r="D209" s="40" t="s">
        <v>412</v>
      </c>
      <c r="F209" s="41">
        <v>2</v>
      </c>
    </row>
    <row r="210" spans="1:48" ht="12.75">
      <c r="A210" s="11" t="s">
        <v>413</v>
      </c>
      <c r="B210" s="11"/>
      <c r="C210" s="11" t="s">
        <v>414</v>
      </c>
      <c r="D210" s="11" t="s">
        <v>415</v>
      </c>
      <c r="E210" s="11" t="s">
        <v>52</v>
      </c>
      <c r="F210" s="38">
        <v>12</v>
      </c>
      <c r="G210" s="38">
        <v>0</v>
      </c>
      <c r="H210" s="38">
        <f>F210*AE210</f>
        <v>0</v>
      </c>
      <c r="I210" s="38">
        <f>J210-H210</f>
        <v>0</v>
      </c>
      <c r="J210" s="38">
        <f>F210*G210</f>
        <v>0</v>
      </c>
      <c r="K210" s="38">
        <v>6E-05</v>
      </c>
      <c r="L210" s="38">
        <f>F210*K210</f>
        <v>0.00072</v>
      </c>
      <c r="M210" s="39" t="s">
        <v>53</v>
      </c>
      <c r="P210" s="38">
        <f>IF(AG210="5",J210,0)</f>
        <v>0</v>
      </c>
      <c r="R210" s="38">
        <f>IF(AG210="1",H210,0)</f>
        <v>0</v>
      </c>
      <c r="S210" s="38">
        <f>IF(AG210="1",I210,0)</f>
        <v>0</v>
      </c>
      <c r="T210" s="38">
        <f>IF(AG210="7",H210,0)</f>
        <v>0</v>
      </c>
      <c r="U210" s="38">
        <f>IF(AG210="7",I210,0)</f>
        <v>0</v>
      </c>
      <c r="V210" s="38">
        <f>IF(AG210="2",H210,0)</f>
        <v>0</v>
      </c>
      <c r="W210" s="38">
        <f>IF(AG210="2",I210,0)</f>
        <v>0</v>
      </c>
      <c r="X210" s="38">
        <f>IF(AG210="0",J210,0)</f>
        <v>0</v>
      </c>
      <c r="Y210" s="32"/>
      <c r="Z210" s="38">
        <f>IF(AD210=0,J210,0)</f>
        <v>0</v>
      </c>
      <c r="AA210" s="38">
        <f>IF(AD210=15,J210,0)</f>
        <v>0</v>
      </c>
      <c r="AB210" s="38">
        <f>IF(AD210=21,J210,0)</f>
        <v>0</v>
      </c>
      <c r="AD210" s="38">
        <v>15</v>
      </c>
      <c r="AE210" s="38">
        <f>G210*0.0871318681318681</f>
        <v>0</v>
      </c>
      <c r="AF210" s="38">
        <f>G210*(1-0.0871318681318681)</f>
        <v>0</v>
      </c>
      <c r="AG210" s="39" t="s">
        <v>84</v>
      </c>
      <c r="AM210" s="38">
        <f>F210*AE210</f>
        <v>0</v>
      </c>
      <c r="AN210" s="38">
        <f>F210*AF210</f>
        <v>0</v>
      </c>
      <c r="AO210" s="39" t="s">
        <v>389</v>
      </c>
      <c r="AP210" s="39" t="s">
        <v>343</v>
      </c>
      <c r="AQ210" s="32" t="s">
        <v>55</v>
      </c>
      <c r="AS210" s="38">
        <f>AM210+AN210</f>
        <v>0</v>
      </c>
      <c r="AT210" s="38">
        <f>G210/(100-AU210)*100</f>
        <v>0</v>
      </c>
      <c r="AU210" s="38">
        <v>0</v>
      </c>
      <c r="AV210" s="38">
        <f>L210</f>
        <v>0.00072</v>
      </c>
    </row>
    <row r="211" spans="4:6" ht="12.75">
      <c r="D211" s="40" t="s">
        <v>416</v>
      </c>
      <c r="F211" s="41">
        <v>12</v>
      </c>
    </row>
    <row r="212" spans="1:48" ht="12.75">
      <c r="A212" s="11" t="s">
        <v>417</v>
      </c>
      <c r="B212" s="11"/>
      <c r="C212" s="11" t="s">
        <v>418</v>
      </c>
      <c r="D212" s="11" t="s">
        <v>419</v>
      </c>
      <c r="E212" s="11" t="s">
        <v>114</v>
      </c>
      <c r="F212" s="38">
        <v>10</v>
      </c>
      <c r="G212" s="38">
        <v>0</v>
      </c>
      <c r="H212" s="38">
        <f>F212*AE212</f>
        <v>0</v>
      </c>
      <c r="I212" s="38">
        <f>J212-H212</f>
        <v>0</v>
      </c>
      <c r="J212" s="38">
        <f>F212*G212</f>
        <v>0</v>
      </c>
      <c r="K212" s="38">
        <v>6E-05</v>
      </c>
      <c r="L212" s="38">
        <f>F212*K212</f>
        <v>0.0006000000000000001</v>
      </c>
      <c r="M212" s="39" t="s">
        <v>53</v>
      </c>
      <c r="P212" s="38">
        <f>IF(AG212="5",J212,0)</f>
        <v>0</v>
      </c>
      <c r="R212" s="38">
        <f>IF(AG212="1",H212,0)</f>
        <v>0</v>
      </c>
      <c r="S212" s="38">
        <f>IF(AG212="1",I212,0)</f>
        <v>0</v>
      </c>
      <c r="T212" s="38">
        <f>IF(AG212="7",H212,0)</f>
        <v>0</v>
      </c>
      <c r="U212" s="38">
        <f>IF(AG212="7",I212,0)</f>
        <v>0</v>
      </c>
      <c r="V212" s="38">
        <f>IF(AG212="2",H212,0)</f>
        <v>0</v>
      </c>
      <c r="W212" s="38">
        <f>IF(AG212="2",I212,0)</f>
        <v>0</v>
      </c>
      <c r="X212" s="38">
        <f>IF(AG212="0",J212,0)</f>
        <v>0</v>
      </c>
      <c r="Y212" s="32"/>
      <c r="Z212" s="38">
        <f>IF(AD212=0,J212,0)</f>
        <v>0</v>
      </c>
      <c r="AA212" s="38">
        <f>IF(AD212=15,J212,0)</f>
        <v>0</v>
      </c>
      <c r="AB212" s="38">
        <f>IF(AD212=21,J212,0)</f>
        <v>0</v>
      </c>
      <c r="AD212" s="38">
        <v>15</v>
      </c>
      <c r="AE212" s="38">
        <f>G212*0.0847008019740901</f>
        <v>0</v>
      </c>
      <c r="AF212" s="38">
        <f>G212*(1-0.0847008019740901)</f>
        <v>0</v>
      </c>
      <c r="AG212" s="39" t="s">
        <v>84</v>
      </c>
      <c r="AM212" s="38">
        <f>F212*AE212</f>
        <v>0</v>
      </c>
      <c r="AN212" s="38">
        <f>F212*AF212</f>
        <v>0</v>
      </c>
      <c r="AO212" s="39" t="s">
        <v>389</v>
      </c>
      <c r="AP212" s="39" t="s">
        <v>343</v>
      </c>
      <c r="AQ212" s="32" t="s">
        <v>55</v>
      </c>
      <c r="AS212" s="38">
        <f>AM212+AN212</f>
        <v>0</v>
      </c>
      <c r="AT212" s="38">
        <f>G212/(100-AU212)*100</f>
        <v>0</v>
      </c>
      <c r="AU212" s="38">
        <v>0</v>
      </c>
      <c r="AV212" s="38">
        <f>L212</f>
        <v>0.0006000000000000001</v>
      </c>
    </row>
    <row r="213" spans="4:6" ht="12.75">
      <c r="D213" s="40" t="s">
        <v>420</v>
      </c>
      <c r="F213" s="41">
        <v>10</v>
      </c>
    </row>
    <row r="214" spans="4:6" ht="12.75">
      <c r="D214" s="40" t="s">
        <v>421</v>
      </c>
      <c r="F214" s="41">
        <v>0</v>
      </c>
    </row>
    <row r="215" spans="1:48" ht="12.75">
      <c r="A215" s="11" t="s">
        <v>422</v>
      </c>
      <c r="B215" s="11"/>
      <c r="C215" s="11" t="s">
        <v>423</v>
      </c>
      <c r="D215" s="11" t="s">
        <v>424</v>
      </c>
      <c r="E215" s="11" t="s">
        <v>301</v>
      </c>
      <c r="F215" s="38">
        <v>0.25</v>
      </c>
      <c r="G215" s="38">
        <v>0</v>
      </c>
      <c r="H215" s="38">
        <f>F215*AE215</f>
        <v>0</v>
      </c>
      <c r="I215" s="38">
        <f>J215-H215</f>
        <v>0</v>
      </c>
      <c r="J215" s="38">
        <f>F215*G215</f>
        <v>0</v>
      </c>
      <c r="K215" s="38">
        <v>0</v>
      </c>
      <c r="L215" s="38">
        <f>F215*K215</f>
        <v>0</v>
      </c>
      <c r="M215" s="39" t="s">
        <v>53</v>
      </c>
      <c r="P215" s="38">
        <f>IF(AG215="5",J215,0)</f>
        <v>0</v>
      </c>
      <c r="R215" s="38">
        <f>IF(AG215="1",H215,0)</f>
        <v>0</v>
      </c>
      <c r="S215" s="38">
        <f>IF(AG215="1",I215,0)</f>
        <v>0</v>
      </c>
      <c r="T215" s="38">
        <f>IF(AG215="7",H215,0)</f>
        <v>0</v>
      </c>
      <c r="U215" s="38">
        <f>IF(AG215="7",I215,0)</f>
        <v>0</v>
      </c>
      <c r="V215" s="38">
        <f>IF(AG215="2",H215,0)</f>
        <v>0</v>
      </c>
      <c r="W215" s="38">
        <f>IF(AG215="2",I215,0)</f>
        <v>0</v>
      </c>
      <c r="X215" s="38">
        <f>IF(AG215="0",J215,0)</f>
        <v>0</v>
      </c>
      <c r="Y215" s="32"/>
      <c r="Z215" s="38">
        <f>IF(AD215=0,J215,0)</f>
        <v>0</v>
      </c>
      <c r="AA215" s="38">
        <f>IF(AD215=15,J215,0)</f>
        <v>0</v>
      </c>
      <c r="AB215" s="38">
        <f>IF(AD215=21,J215,0)</f>
        <v>0</v>
      </c>
      <c r="AD215" s="38">
        <v>15</v>
      </c>
      <c r="AE215" s="38">
        <f>G215*0</f>
        <v>0</v>
      </c>
      <c r="AF215" s="38">
        <f>G215*(1-0)</f>
        <v>0</v>
      </c>
      <c r="AG215" s="39" t="s">
        <v>71</v>
      </c>
      <c r="AM215" s="38">
        <f>F215*AE215</f>
        <v>0</v>
      </c>
      <c r="AN215" s="38">
        <f>F215*AF215</f>
        <v>0</v>
      </c>
      <c r="AO215" s="39" t="s">
        <v>389</v>
      </c>
      <c r="AP215" s="39" t="s">
        <v>343</v>
      </c>
      <c r="AQ215" s="32" t="s">
        <v>55</v>
      </c>
      <c r="AS215" s="38">
        <f>AM215+AN215</f>
        <v>0</v>
      </c>
      <c r="AT215" s="38">
        <f>G215/(100-AU215)*100</f>
        <v>0</v>
      </c>
      <c r="AU215" s="38">
        <v>0</v>
      </c>
      <c r="AV215" s="38">
        <f>L215</f>
        <v>0</v>
      </c>
    </row>
    <row r="216" spans="4:6" ht="12.75">
      <c r="D216" s="40" t="s">
        <v>425</v>
      </c>
      <c r="F216" s="41">
        <v>0.25</v>
      </c>
    </row>
    <row r="217" spans="1:37" ht="12.75">
      <c r="A217" s="42"/>
      <c r="B217" s="43"/>
      <c r="C217" s="43" t="s">
        <v>426</v>
      </c>
      <c r="D217" s="43" t="s">
        <v>427</v>
      </c>
      <c r="E217" s="42" t="s">
        <v>4</v>
      </c>
      <c r="F217" s="42" t="s">
        <v>4</v>
      </c>
      <c r="G217" s="42" t="s">
        <v>4</v>
      </c>
      <c r="H217" s="37">
        <f>SUM(H218:H220)</f>
        <v>0</v>
      </c>
      <c r="I217" s="37">
        <f>SUM(I218:I220)</f>
        <v>0</v>
      </c>
      <c r="J217" s="37">
        <f>H217+I217</f>
        <v>0</v>
      </c>
      <c r="K217" s="32"/>
      <c r="L217" s="37">
        <f>SUM(L218:L220)</f>
        <v>0.334125</v>
      </c>
      <c r="M217" s="32"/>
      <c r="Y217" s="32"/>
      <c r="AI217" s="37">
        <f>SUM(Z218:Z220)</f>
        <v>0</v>
      </c>
      <c r="AJ217" s="37">
        <f>SUM(AA218:AA220)</f>
        <v>0</v>
      </c>
      <c r="AK217" s="37">
        <f>SUM(AB218:AB220)</f>
        <v>0</v>
      </c>
    </row>
    <row r="218" spans="1:48" ht="12.75">
      <c r="A218" s="11" t="s">
        <v>428</v>
      </c>
      <c r="B218" s="11"/>
      <c r="C218" s="11" t="s">
        <v>429</v>
      </c>
      <c r="D218" s="11" t="s">
        <v>430</v>
      </c>
      <c r="E218" s="11" t="s">
        <v>81</v>
      </c>
      <c r="F218" s="38">
        <v>123.75</v>
      </c>
      <c r="G218" s="38">
        <v>0</v>
      </c>
      <c r="H218" s="38">
        <f>F218*AE218</f>
        <v>0</v>
      </c>
      <c r="I218" s="38">
        <f>J218-H218</f>
        <v>0</v>
      </c>
      <c r="J218" s="38">
        <f>F218*G218</f>
        <v>0</v>
      </c>
      <c r="K218" s="38">
        <v>0.0027</v>
      </c>
      <c r="L218" s="38">
        <f>F218*K218</f>
        <v>0.334125</v>
      </c>
      <c r="M218" s="39" t="s">
        <v>53</v>
      </c>
      <c r="P218" s="38">
        <f>IF(AG218="5",J218,0)</f>
        <v>0</v>
      </c>
      <c r="R218" s="38">
        <f>IF(AG218="1",H218,0)</f>
        <v>0</v>
      </c>
      <c r="S218" s="38">
        <f>IF(AG218="1",I218,0)</f>
        <v>0</v>
      </c>
      <c r="T218" s="38">
        <f>IF(AG218="7",H218,0)</f>
        <v>0</v>
      </c>
      <c r="U218" s="38">
        <f>IF(AG218="7",I218,0)</f>
        <v>0</v>
      </c>
      <c r="V218" s="38">
        <f>IF(AG218="2",H218,0)</f>
        <v>0</v>
      </c>
      <c r="W218" s="38">
        <f>IF(AG218="2",I218,0)</f>
        <v>0</v>
      </c>
      <c r="X218" s="38">
        <f>IF(AG218="0",J218,0)</f>
        <v>0</v>
      </c>
      <c r="Y218" s="32"/>
      <c r="Z218" s="38">
        <f>IF(AD218=0,J218,0)</f>
        <v>0</v>
      </c>
      <c r="AA218" s="38">
        <f>IF(AD218=15,J218,0)</f>
        <v>0</v>
      </c>
      <c r="AB218" s="38">
        <f>IF(AD218=21,J218,0)</f>
        <v>0</v>
      </c>
      <c r="AD218" s="38">
        <v>15</v>
      </c>
      <c r="AE218" s="38">
        <f>G218*0.727639939485628</f>
        <v>0</v>
      </c>
      <c r="AF218" s="38">
        <f>G218*(1-0.727639939485628)</f>
        <v>0</v>
      </c>
      <c r="AG218" s="39" t="s">
        <v>84</v>
      </c>
      <c r="AM218" s="38">
        <f>F218*AE218</f>
        <v>0</v>
      </c>
      <c r="AN218" s="38">
        <f>F218*AF218</f>
        <v>0</v>
      </c>
      <c r="AO218" s="39" t="s">
        <v>431</v>
      </c>
      <c r="AP218" s="39" t="s">
        <v>432</v>
      </c>
      <c r="AQ218" s="32" t="s">
        <v>55</v>
      </c>
      <c r="AS218" s="38">
        <f>AM218+AN218</f>
        <v>0</v>
      </c>
      <c r="AT218" s="38">
        <f>G218/(100-AU218)*100</f>
        <v>0</v>
      </c>
      <c r="AU218" s="38">
        <v>0</v>
      </c>
      <c r="AV218" s="38">
        <f>L218</f>
        <v>0.334125</v>
      </c>
    </row>
    <row r="219" spans="4:6" ht="12.75">
      <c r="D219" s="40" t="s">
        <v>433</v>
      </c>
      <c r="F219" s="41">
        <v>123.75</v>
      </c>
    </row>
    <row r="220" spans="1:48" ht="12.75">
      <c r="A220" s="11" t="s">
        <v>434</v>
      </c>
      <c r="B220" s="11"/>
      <c r="C220" s="11" t="s">
        <v>435</v>
      </c>
      <c r="D220" s="11" t="s">
        <v>436</v>
      </c>
      <c r="E220" s="11" t="s">
        <v>301</v>
      </c>
      <c r="F220" s="38">
        <v>0.33</v>
      </c>
      <c r="G220" s="38">
        <v>0</v>
      </c>
      <c r="H220" s="38">
        <f>F220*AE220</f>
        <v>0</v>
      </c>
      <c r="I220" s="38">
        <f>J220-H220</f>
        <v>0</v>
      </c>
      <c r="J220" s="38">
        <f>F220*G220</f>
        <v>0</v>
      </c>
      <c r="K220" s="38">
        <v>0</v>
      </c>
      <c r="L220" s="38">
        <f>F220*K220</f>
        <v>0</v>
      </c>
      <c r="M220" s="39" t="s">
        <v>53</v>
      </c>
      <c r="P220" s="38">
        <f>IF(AG220="5",J220,0)</f>
        <v>0</v>
      </c>
      <c r="R220" s="38">
        <f>IF(AG220="1",H220,0)</f>
        <v>0</v>
      </c>
      <c r="S220" s="38">
        <f>IF(AG220="1",I220,0)</f>
        <v>0</v>
      </c>
      <c r="T220" s="38">
        <f>IF(AG220="7",H220,0)</f>
        <v>0</v>
      </c>
      <c r="U220" s="38">
        <f>IF(AG220="7",I220,0)</f>
        <v>0</v>
      </c>
      <c r="V220" s="38">
        <f>IF(AG220="2",H220,0)</f>
        <v>0</v>
      </c>
      <c r="W220" s="38">
        <f>IF(AG220="2",I220,0)</f>
        <v>0</v>
      </c>
      <c r="X220" s="38">
        <f>IF(AG220="0",J220,0)</f>
        <v>0</v>
      </c>
      <c r="Y220" s="32"/>
      <c r="Z220" s="38">
        <f>IF(AD220=0,J220,0)</f>
        <v>0</v>
      </c>
      <c r="AA220" s="38">
        <f>IF(AD220=15,J220,0)</f>
        <v>0</v>
      </c>
      <c r="AB220" s="38">
        <f>IF(AD220=21,J220,0)</f>
        <v>0</v>
      </c>
      <c r="AD220" s="38">
        <v>15</v>
      </c>
      <c r="AE220" s="38">
        <f>G220*0</f>
        <v>0</v>
      </c>
      <c r="AF220" s="38">
        <f>G220*(1-0)</f>
        <v>0</v>
      </c>
      <c r="AG220" s="39" t="s">
        <v>71</v>
      </c>
      <c r="AM220" s="38">
        <f>F220*AE220</f>
        <v>0</v>
      </c>
      <c r="AN220" s="38">
        <f>F220*AF220</f>
        <v>0</v>
      </c>
      <c r="AO220" s="39" t="s">
        <v>431</v>
      </c>
      <c r="AP220" s="39" t="s">
        <v>432</v>
      </c>
      <c r="AQ220" s="32" t="s">
        <v>55</v>
      </c>
      <c r="AS220" s="38">
        <f>AM220+AN220</f>
        <v>0</v>
      </c>
      <c r="AT220" s="38">
        <f>G220/(100-AU220)*100</f>
        <v>0</v>
      </c>
      <c r="AU220" s="38">
        <v>0</v>
      </c>
      <c r="AV220" s="38">
        <f>L220</f>
        <v>0</v>
      </c>
    </row>
    <row r="221" spans="4:6" ht="12.75">
      <c r="D221" s="40" t="s">
        <v>437</v>
      </c>
      <c r="F221" s="41">
        <v>0.33</v>
      </c>
    </row>
    <row r="222" spans="1:37" ht="12.75">
      <c r="A222" s="42"/>
      <c r="B222" s="43"/>
      <c r="C222" s="43" t="s">
        <v>438</v>
      </c>
      <c r="D222" s="43" t="s">
        <v>439</v>
      </c>
      <c r="E222" s="42" t="s">
        <v>4</v>
      </c>
      <c r="F222" s="42" t="s">
        <v>4</v>
      </c>
      <c r="G222" s="42" t="s">
        <v>4</v>
      </c>
      <c r="H222" s="37">
        <f>SUM(H223:H225)</f>
        <v>0</v>
      </c>
      <c r="I222" s="37">
        <f>SUM(I223:I225)</f>
        <v>0</v>
      </c>
      <c r="J222" s="37">
        <f>H222+I222</f>
        <v>0</v>
      </c>
      <c r="K222" s="32"/>
      <c r="L222" s="37">
        <f>SUM(L223:L225)</f>
        <v>0.0753376</v>
      </c>
      <c r="M222" s="32"/>
      <c r="Y222" s="32"/>
      <c r="AI222" s="37">
        <f>SUM(Z223:Z225)</f>
        <v>0</v>
      </c>
      <c r="AJ222" s="37">
        <f>SUM(AA223:AA225)</f>
        <v>0</v>
      </c>
      <c r="AK222" s="37">
        <f>SUM(AB223:AB225)</f>
        <v>0</v>
      </c>
    </row>
    <row r="223" spans="1:48" ht="12.75">
      <c r="A223" s="11" t="s">
        <v>440</v>
      </c>
      <c r="B223" s="11"/>
      <c r="C223" s="11" t="s">
        <v>441</v>
      </c>
      <c r="D223" s="11" t="s">
        <v>442</v>
      </c>
      <c r="E223" s="11" t="s">
        <v>81</v>
      </c>
      <c r="F223" s="38">
        <v>235.43</v>
      </c>
      <c r="G223" s="38">
        <v>0</v>
      </c>
      <c r="H223" s="38">
        <f>F223*AE223</f>
        <v>0</v>
      </c>
      <c r="I223" s="38">
        <f>J223-H223</f>
        <v>0</v>
      </c>
      <c r="J223" s="38">
        <f>F223*G223</f>
        <v>0</v>
      </c>
      <c r="K223" s="38">
        <v>0.00032</v>
      </c>
      <c r="L223" s="38">
        <f>F223*K223</f>
        <v>0.0753376</v>
      </c>
      <c r="M223" s="39" t="s">
        <v>53</v>
      </c>
      <c r="P223" s="38">
        <f>IF(AG223="5",J223,0)</f>
        <v>0</v>
      </c>
      <c r="R223" s="38">
        <f>IF(AG223="1",H223,0)</f>
        <v>0</v>
      </c>
      <c r="S223" s="38">
        <f>IF(AG223="1",I223,0)</f>
        <v>0</v>
      </c>
      <c r="T223" s="38">
        <f>IF(AG223="7",H223,0)</f>
        <v>0</v>
      </c>
      <c r="U223" s="38">
        <f>IF(AG223="7",I223,0)</f>
        <v>0</v>
      </c>
      <c r="V223" s="38">
        <f>IF(AG223="2",H223,0)</f>
        <v>0</v>
      </c>
      <c r="W223" s="38">
        <f>IF(AG223="2",I223,0)</f>
        <v>0</v>
      </c>
      <c r="X223" s="38">
        <f>IF(AG223="0",J223,0)</f>
        <v>0</v>
      </c>
      <c r="Y223" s="32"/>
      <c r="Z223" s="38">
        <f>IF(AD223=0,J223,0)</f>
        <v>0</v>
      </c>
      <c r="AA223" s="38">
        <f>IF(AD223=15,J223,0)</f>
        <v>0</v>
      </c>
      <c r="AB223" s="38">
        <f>IF(AD223=21,J223,0)</f>
        <v>0</v>
      </c>
      <c r="AD223" s="38">
        <v>15</v>
      </c>
      <c r="AE223" s="38">
        <f>G223*0.18395633760977</f>
        <v>0</v>
      </c>
      <c r="AF223" s="38">
        <f>G223*(1-0.18395633760977)</f>
        <v>0</v>
      </c>
      <c r="AG223" s="39" t="s">
        <v>84</v>
      </c>
      <c r="AM223" s="38">
        <f>F223*AE223</f>
        <v>0</v>
      </c>
      <c r="AN223" s="38">
        <f>F223*AF223</f>
        <v>0</v>
      </c>
      <c r="AO223" s="39" t="s">
        <v>443</v>
      </c>
      <c r="AP223" s="39" t="s">
        <v>444</v>
      </c>
      <c r="AQ223" s="32" t="s">
        <v>55</v>
      </c>
      <c r="AS223" s="38">
        <f>AM223+AN223</f>
        <v>0</v>
      </c>
      <c r="AT223" s="38">
        <f>G223/(100-AU223)*100</f>
        <v>0</v>
      </c>
      <c r="AU223" s="38">
        <v>0</v>
      </c>
      <c r="AV223" s="38">
        <f>L223</f>
        <v>0.0753376</v>
      </c>
    </row>
    <row r="224" spans="4:6" ht="12.75">
      <c r="D224" s="40" t="s">
        <v>445</v>
      </c>
      <c r="F224" s="41">
        <v>235.43</v>
      </c>
    </row>
    <row r="225" spans="1:48" ht="12.75">
      <c r="A225" s="11" t="s">
        <v>446</v>
      </c>
      <c r="B225" s="11"/>
      <c r="C225" s="11" t="s">
        <v>447</v>
      </c>
      <c r="D225" s="11" t="s">
        <v>448</v>
      </c>
      <c r="E225" s="11" t="s">
        <v>81</v>
      </c>
      <c r="F225" s="38">
        <v>235.43</v>
      </c>
      <c r="G225" s="38">
        <v>0</v>
      </c>
      <c r="H225" s="38">
        <f>F225*AE225</f>
        <v>0</v>
      </c>
      <c r="I225" s="38">
        <f>J225-H225</f>
        <v>0</v>
      </c>
      <c r="J225" s="38">
        <f>F225*G225</f>
        <v>0</v>
      </c>
      <c r="K225" s="38">
        <v>0</v>
      </c>
      <c r="L225" s="38">
        <f>F225*K225</f>
        <v>0</v>
      </c>
      <c r="M225" s="39" t="s">
        <v>53</v>
      </c>
      <c r="P225" s="38">
        <f>IF(AG225="5",J225,0)</f>
        <v>0</v>
      </c>
      <c r="R225" s="38">
        <f>IF(AG225="1",H225,0)</f>
        <v>0</v>
      </c>
      <c r="S225" s="38">
        <f>IF(AG225="1",I225,0)</f>
        <v>0</v>
      </c>
      <c r="T225" s="38">
        <f>IF(AG225="7",H225,0)</f>
        <v>0</v>
      </c>
      <c r="U225" s="38">
        <f>IF(AG225="7",I225,0)</f>
        <v>0</v>
      </c>
      <c r="V225" s="38">
        <f>IF(AG225="2",H225,0)</f>
        <v>0</v>
      </c>
      <c r="W225" s="38">
        <f>IF(AG225="2",I225,0)</f>
        <v>0</v>
      </c>
      <c r="X225" s="38">
        <f>IF(AG225="0",J225,0)</f>
        <v>0</v>
      </c>
      <c r="Y225" s="32"/>
      <c r="Z225" s="38">
        <f>IF(AD225=0,J225,0)</f>
        <v>0</v>
      </c>
      <c r="AA225" s="38">
        <f>IF(AD225=15,J225,0)</f>
        <v>0</v>
      </c>
      <c r="AB225" s="38">
        <f>IF(AD225=21,J225,0)</f>
        <v>0</v>
      </c>
      <c r="AD225" s="38">
        <v>15</v>
      </c>
      <c r="AE225" s="38">
        <f>G225*0.00329549784667452</f>
        <v>0</v>
      </c>
      <c r="AF225" s="38">
        <f>G225*(1-0.00329549784667452)</f>
        <v>0</v>
      </c>
      <c r="AG225" s="39" t="s">
        <v>84</v>
      </c>
      <c r="AM225" s="38">
        <f>F225*AE225</f>
        <v>0</v>
      </c>
      <c r="AN225" s="38">
        <f>F225*AF225</f>
        <v>0</v>
      </c>
      <c r="AO225" s="39" t="s">
        <v>443</v>
      </c>
      <c r="AP225" s="39" t="s">
        <v>444</v>
      </c>
      <c r="AQ225" s="32" t="s">
        <v>55</v>
      </c>
      <c r="AS225" s="38">
        <f>AM225+AN225</f>
        <v>0</v>
      </c>
      <c r="AT225" s="38">
        <f>G225/(100-AU225)*100</f>
        <v>0</v>
      </c>
      <c r="AU225" s="38">
        <v>0</v>
      </c>
      <c r="AV225" s="38">
        <f>L225</f>
        <v>0</v>
      </c>
    </row>
    <row r="226" spans="4:6" ht="12.75">
      <c r="D226" s="40" t="s">
        <v>449</v>
      </c>
      <c r="F226" s="41">
        <v>235.43</v>
      </c>
    </row>
    <row r="227" spans="1:37" ht="12.75">
      <c r="A227" s="42"/>
      <c r="B227" s="43"/>
      <c r="C227" s="43" t="s">
        <v>450</v>
      </c>
      <c r="D227" s="43" t="s">
        <v>451</v>
      </c>
      <c r="E227" s="42" t="s">
        <v>4</v>
      </c>
      <c r="F227" s="42" t="s">
        <v>4</v>
      </c>
      <c r="G227" s="42" t="s">
        <v>4</v>
      </c>
      <c r="H227" s="37">
        <f>SUM(H228:H228)</f>
        <v>0</v>
      </c>
      <c r="I227" s="37">
        <f>SUM(I228:I228)</f>
        <v>0</v>
      </c>
      <c r="J227" s="37">
        <f>H227+I227</f>
        <v>0</v>
      </c>
      <c r="K227" s="32"/>
      <c r="L227" s="37">
        <f>SUM(L228:L228)</f>
        <v>0</v>
      </c>
      <c r="M227" s="32"/>
      <c r="Y227" s="32"/>
      <c r="AI227" s="37">
        <f>SUM(Z228:Z228)</f>
        <v>0</v>
      </c>
      <c r="AJ227" s="37">
        <f>SUM(AA228:AA228)</f>
        <v>0</v>
      </c>
      <c r="AK227" s="37">
        <f>SUM(AB228:AB228)</f>
        <v>0</v>
      </c>
    </row>
    <row r="228" spans="1:48" ht="12.75">
      <c r="A228" s="11" t="s">
        <v>452</v>
      </c>
      <c r="B228" s="11"/>
      <c r="C228" s="11" t="s">
        <v>453</v>
      </c>
      <c r="D228" s="11" t="s">
        <v>454</v>
      </c>
      <c r="E228" s="11" t="s">
        <v>455</v>
      </c>
      <c r="F228" s="38">
        <v>50</v>
      </c>
      <c r="G228" s="38">
        <v>0</v>
      </c>
      <c r="H228" s="38">
        <f>F228*AE228</f>
        <v>0</v>
      </c>
      <c r="I228" s="38">
        <f>J228-H228</f>
        <v>0</v>
      </c>
      <c r="J228" s="38">
        <f>F228*G228</f>
        <v>0</v>
      </c>
      <c r="K228" s="38">
        <v>0</v>
      </c>
      <c r="L228" s="38">
        <f>F228*K228</f>
        <v>0</v>
      </c>
      <c r="M228" s="39" t="s">
        <v>53</v>
      </c>
      <c r="P228" s="38">
        <f>IF(AG228="5",J228,0)</f>
        <v>0</v>
      </c>
      <c r="R228" s="38">
        <f>IF(AG228="1",H228,0)</f>
        <v>0</v>
      </c>
      <c r="S228" s="38">
        <f>IF(AG228="1",I228,0)</f>
        <v>0</v>
      </c>
      <c r="T228" s="38">
        <f>IF(AG228="7",H228,0)</f>
        <v>0</v>
      </c>
      <c r="U228" s="38">
        <f>IF(AG228="7",I228,0)</f>
        <v>0</v>
      </c>
      <c r="V228" s="38">
        <f>IF(AG228="2",H228,0)</f>
        <v>0</v>
      </c>
      <c r="W228" s="38">
        <f>IF(AG228="2",I228,0)</f>
        <v>0</v>
      </c>
      <c r="X228" s="38">
        <f>IF(AG228="0",J228,0)</f>
        <v>0</v>
      </c>
      <c r="Y228" s="32"/>
      <c r="Z228" s="38">
        <f>IF(AD228=0,J228,0)</f>
        <v>0</v>
      </c>
      <c r="AA228" s="38">
        <f>IF(AD228=15,J228,0)</f>
        <v>0</v>
      </c>
      <c r="AB228" s="38">
        <f>IF(AD228=21,J228,0)</f>
        <v>0</v>
      </c>
      <c r="AD228" s="38">
        <v>15</v>
      </c>
      <c r="AE228" s="38">
        <f>G228*0</f>
        <v>0</v>
      </c>
      <c r="AF228" s="38">
        <f>G228*(1-0)</f>
        <v>0</v>
      </c>
      <c r="AG228" s="39" t="s">
        <v>49</v>
      </c>
      <c r="AM228" s="38">
        <f>F228*AE228</f>
        <v>0</v>
      </c>
      <c r="AN228" s="38">
        <f>F228*AF228</f>
        <v>0</v>
      </c>
      <c r="AO228" s="39" t="s">
        <v>456</v>
      </c>
      <c r="AP228" s="39" t="s">
        <v>457</v>
      </c>
      <c r="AQ228" s="32" t="s">
        <v>55</v>
      </c>
      <c r="AS228" s="38">
        <f>AM228+AN228</f>
        <v>0</v>
      </c>
      <c r="AT228" s="38">
        <f>G228/(100-AU228)*100</f>
        <v>0</v>
      </c>
      <c r="AU228" s="38">
        <v>0</v>
      </c>
      <c r="AV228" s="38">
        <f>L228</f>
        <v>0</v>
      </c>
    </row>
    <row r="229" spans="4:6" ht="12.75">
      <c r="D229" s="40" t="s">
        <v>321</v>
      </c>
      <c r="F229" s="41">
        <v>50</v>
      </c>
    </row>
    <row r="230" spans="1:37" ht="12.75">
      <c r="A230" s="42"/>
      <c r="B230" s="43"/>
      <c r="C230" s="43" t="s">
        <v>458</v>
      </c>
      <c r="D230" s="43" t="s">
        <v>459</v>
      </c>
      <c r="E230" s="42" t="s">
        <v>4</v>
      </c>
      <c r="F230" s="42" t="s">
        <v>4</v>
      </c>
      <c r="G230" s="42" t="s">
        <v>4</v>
      </c>
      <c r="H230" s="37">
        <f>SUM(H231:H245)</f>
        <v>0</v>
      </c>
      <c r="I230" s="37">
        <f>SUM(I231:I245)</f>
        <v>0</v>
      </c>
      <c r="J230" s="37">
        <f>H230+I230</f>
        <v>0</v>
      </c>
      <c r="K230" s="32"/>
      <c r="L230" s="37">
        <f>SUM(L231:L245)</f>
        <v>17.26704</v>
      </c>
      <c r="M230" s="32"/>
      <c r="Y230" s="32"/>
      <c r="AI230" s="37">
        <f>SUM(Z231:Z245)</f>
        <v>0</v>
      </c>
      <c r="AJ230" s="37">
        <f>SUM(AA231:AA245)</f>
        <v>0</v>
      </c>
      <c r="AK230" s="37">
        <f>SUM(AB231:AB245)</f>
        <v>0</v>
      </c>
    </row>
    <row r="231" spans="1:48" ht="12.75">
      <c r="A231" s="11" t="s">
        <v>460</v>
      </c>
      <c r="B231" s="11"/>
      <c r="C231" s="11" t="s">
        <v>461</v>
      </c>
      <c r="D231" s="11" t="s">
        <v>462</v>
      </c>
      <c r="E231" s="11" t="s">
        <v>81</v>
      </c>
      <c r="F231" s="38">
        <v>890.5</v>
      </c>
      <c r="G231" s="38">
        <v>0</v>
      </c>
      <c r="H231" s="38">
        <f>F231*AE231</f>
        <v>0</v>
      </c>
      <c r="I231" s="38">
        <f>J231-H231</f>
        <v>0</v>
      </c>
      <c r="J231" s="38">
        <f>F231*G231</f>
        <v>0</v>
      </c>
      <c r="K231" s="38">
        <v>0.01838</v>
      </c>
      <c r="L231" s="38">
        <f>F231*K231</f>
        <v>16.36739</v>
      </c>
      <c r="M231" s="39" t="s">
        <v>53</v>
      </c>
      <c r="P231" s="38">
        <f>IF(AG231="5",J231,0)</f>
        <v>0</v>
      </c>
      <c r="R231" s="38">
        <f>IF(AG231="1",H231,0)</f>
        <v>0</v>
      </c>
      <c r="S231" s="38">
        <f>IF(AG231="1",I231,0)</f>
        <v>0</v>
      </c>
      <c r="T231" s="38">
        <f>IF(AG231="7",H231,0)</f>
        <v>0</v>
      </c>
      <c r="U231" s="38">
        <f>IF(AG231="7",I231,0)</f>
        <v>0</v>
      </c>
      <c r="V231" s="38">
        <f>IF(AG231="2",H231,0)</f>
        <v>0</v>
      </c>
      <c r="W231" s="38">
        <f>IF(AG231="2",I231,0)</f>
        <v>0</v>
      </c>
      <c r="X231" s="38">
        <f>IF(AG231="0",J231,0)</f>
        <v>0</v>
      </c>
      <c r="Y231" s="32"/>
      <c r="Z231" s="38">
        <f>IF(AD231=0,J231,0)</f>
        <v>0</v>
      </c>
      <c r="AA231" s="38">
        <f>IF(AD231=15,J231,0)</f>
        <v>0</v>
      </c>
      <c r="AB231" s="38">
        <f>IF(AD231=21,J231,0)</f>
        <v>0</v>
      </c>
      <c r="AD231" s="38">
        <v>15</v>
      </c>
      <c r="AE231" s="38">
        <f>G231*0.000642398286937901</f>
        <v>0</v>
      </c>
      <c r="AF231" s="38">
        <f>G231*(1-0.000642398286937901)</f>
        <v>0</v>
      </c>
      <c r="AG231" s="39" t="s">
        <v>49</v>
      </c>
      <c r="AM231" s="38">
        <f>F231*AE231</f>
        <v>0</v>
      </c>
      <c r="AN231" s="38">
        <f>F231*AF231</f>
        <v>0</v>
      </c>
      <c r="AO231" s="39" t="s">
        <v>463</v>
      </c>
      <c r="AP231" s="39" t="s">
        <v>457</v>
      </c>
      <c r="AQ231" s="32" t="s">
        <v>55</v>
      </c>
      <c r="AS231" s="38">
        <f>AM231+AN231</f>
        <v>0</v>
      </c>
      <c r="AT231" s="38">
        <f>G231/(100-AU231)*100</f>
        <v>0</v>
      </c>
      <c r="AU231" s="38">
        <v>0</v>
      </c>
      <c r="AV231" s="38">
        <f>L231</f>
        <v>16.36739</v>
      </c>
    </row>
    <row r="232" spans="4:6" ht="12.75">
      <c r="D232" s="40" t="s">
        <v>464</v>
      </c>
      <c r="F232" s="41">
        <v>890.5</v>
      </c>
    </row>
    <row r="233" spans="1:48" ht="12.75">
      <c r="A233" s="11" t="s">
        <v>465</v>
      </c>
      <c r="B233" s="11"/>
      <c r="C233" s="11" t="s">
        <v>466</v>
      </c>
      <c r="D233" s="11" t="s">
        <v>467</v>
      </c>
      <c r="E233" s="11" t="s">
        <v>81</v>
      </c>
      <c r="F233" s="38">
        <v>890.5</v>
      </c>
      <c r="G233" s="38">
        <v>0</v>
      </c>
      <c r="H233" s="38">
        <f>F233*AE233</f>
        <v>0</v>
      </c>
      <c r="I233" s="38">
        <f>J233-H233</f>
        <v>0</v>
      </c>
      <c r="J233" s="38">
        <f>F233*G233</f>
        <v>0</v>
      </c>
      <c r="K233" s="38">
        <v>0.00085</v>
      </c>
      <c r="L233" s="38">
        <f>F233*K233</f>
        <v>0.756925</v>
      </c>
      <c r="M233" s="39" t="s">
        <v>53</v>
      </c>
      <c r="P233" s="38">
        <f>IF(AG233="5",J233,0)</f>
        <v>0</v>
      </c>
      <c r="R233" s="38">
        <f>IF(AG233="1",H233,0)</f>
        <v>0</v>
      </c>
      <c r="S233" s="38">
        <f>IF(AG233="1",I233,0)</f>
        <v>0</v>
      </c>
      <c r="T233" s="38">
        <f>IF(AG233="7",H233,0)</f>
        <v>0</v>
      </c>
      <c r="U233" s="38">
        <f>IF(AG233="7",I233,0)</f>
        <v>0</v>
      </c>
      <c r="V233" s="38">
        <f>IF(AG233="2",H233,0)</f>
        <v>0</v>
      </c>
      <c r="W233" s="38">
        <f>IF(AG233="2",I233,0)</f>
        <v>0</v>
      </c>
      <c r="X233" s="38">
        <f>IF(AG233="0",J233,0)</f>
        <v>0</v>
      </c>
      <c r="Y233" s="32"/>
      <c r="Z233" s="38">
        <f>IF(AD233=0,J233,0)</f>
        <v>0</v>
      </c>
      <c r="AA233" s="38">
        <f>IF(AD233=15,J233,0)</f>
        <v>0</v>
      </c>
      <c r="AB233" s="38">
        <f>IF(AD233=21,J233,0)</f>
        <v>0</v>
      </c>
      <c r="AD233" s="38">
        <v>15</v>
      </c>
      <c r="AE233" s="38">
        <f>G233*0.937032897144291</f>
        <v>0</v>
      </c>
      <c r="AF233" s="38">
        <f>G233*(1-0.937032897144291)</f>
        <v>0</v>
      </c>
      <c r="AG233" s="39" t="s">
        <v>49</v>
      </c>
      <c r="AM233" s="38">
        <f>F233*AE233</f>
        <v>0</v>
      </c>
      <c r="AN233" s="38">
        <f>F233*AF233</f>
        <v>0</v>
      </c>
      <c r="AO233" s="39" t="s">
        <v>463</v>
      </c>
      <c r="AP233" s="39" t="s">
        <v>457</v>
      </c>
      <c r="AQ233" s="32" t="s">
        <v>55</v>
      </c>
      <c r="AS233" s="38">
        <f>AM233+AN233</f>
        <v>0</v>
      </c>
      <c r="AT233" s="38">
        <f>G233/(100-AU233)*100</f>
        <v>0</v>
      </c>
      <c r="AU233" s="38">
        <v>0</v>
      </c>
      <c r="AV233" s="38">
        <f>L233</f>
        <v>0.756925</v>
      </c>
    </row>
    <row r="234" spans="4:6" ht="12.75">
      <c r="D234" s="40" t="s">
        <v>468</v>
      </c>
      <c r="F234" s="41">
        <v>890.5</v>
      </c>
    </row>
    <row r="235" spans="1:48" ht="12.75">
      <c r="A235" s="11" t="s">
        <v>469</v>
      </c>
      <c r="B235" s="11"/>
      <c r="C235" s="11" t="s">
        <v>470</v>
      </c>
      <c r="D235" s="11" t="s">
        <v>471</v>
      </c>
      <c r="E235" s="11" t="s">
        <v>81</v>
      </c>
      <c r="F235" s="38">
        <v>890.5</v>
      </c>
      <c r="G235" s="38">
        <v>0</v>
      </c>
      <c r="H235" s="38">
        <f>F235*AE235</f>
        <v>0</v>
      </c>
      <c r="I235" s="38">
        <f>J235-H235</f>
        <v>0</v>
      </c>
      <c r="J235" s="38">
        <f>F235*G235</f>
        <v>0</v>
      </c>
      <c r="K235" s="38">
        <v>0</v>
      </c>
      <c r="L235" s="38">
        <f>F235*K235</f>
        <v>0</v>
      </c>
      <c r="M235" s="39" t="s">
        <v>53</v>
      </c>
      <c r="P235" s="38">
        <f>IF(AG235="5",J235,0)</f>
        <v>0</v>
      </c>
      <c r="R235" s="38">
        <f>IF(AG235="1",H235,0)</f>
        <v>0</v>
      </c>
      <c r="S235" s="38">
        <f>IF(AG235="1",I235,0)</f>
        <v>0</v>
      </c>
      <c r="T235" s="38">
        <f>IF(AG235="7",H235,0)</f>
        <v>0</v>
      </c>
      <c r="U235" s="38">
        <f>IF(AG235="7",I235,0)</f>
        <v>0</v>
      </c>
      <c r="V235" s="38">
        <f>IF(AG235="2",H235,0)</f>
        <v>0</v>
      </c>
      <c r="W235" s="38">
        <f>IF(AG235="2",I235,0)</f>
        <v>0</v>
      </c>
      <c r="X235" s="38">
        <f>IF(AG235="0",J235,0)</f>
        <v>0</v>
      </c>
      <c r="Y235" s="32"/>
      <c r="Z235" s="38">
        <f>IF(AD235=0,J235,0)</f>
        <v>0</v>
      </c>
      <c r="AA235" s="38">
        <f>IF(AD235=15,J235,0)</f>
        <v>0</v>
      </c>
      <c r="AB235" s="38">
        <f>IF(AD235=21,J235,0)</f>
        <v>0</v>
      </c>
      <c r="AD235" s="38">
        <v>15</v>
      </c>
      <c r="AE235" s="38">
        <f>G235*0</f>
        <v>0</v>
      </c>
      <c r="AF235" s="38">
        <f>G235*(1-0)</f>
        <v>0</v>
      </c>
      <c r="AG235" s="39" t="s">
        <v>49</v>
      </c>
      <c r="AM235" s="38">
        <f>F235*AE235</f>
        <v>0</v>
      </c>
      <c r="AN235" s="38">
        <f>F235*AF235</f>
        <v>0</v>
      </c>
      <c r="AO235" s="39" t="s">
        <v>463</v>
      </c>
      <c r="AP235" s="39" t="s">
        <v>457</v>
      </c>
      <c r="AQ235" s="32" t="s">
        <v>55</v>
      </c>
      <c r="AS235" s="38">
        <f>AM235+AN235</f>
        <v>0</v>
      </c>
      <c r="AT235" s="38">
        <f>G235/(100-AU235)*100</f>
        <v>0</v>
      </c>
      <c r="AU235" s="38">
        <v>0</v>
      </c>
      <c r="AV235" s="38">
        <f>L235</f>
        <v>0</v>
      </c>
    </row>
    <row r="236" spans="4:6" ht="12.75">
      <c r="D236" s="40" t="s">
        <v>468</v>
      </c>
      <c r="F236" s="41">
        <v>890.5</v>
      </c>
    </row>
    <row r="237" spans="1:48" ht="12.75">
      <c r="A237" s="11" t="s">
        <v>472</v>
      </c>
      <c r="B237" s="11"/>
      <c r="C237" s="11" t="s">
        <v>473</v>
      </c>
      <c r="D237" s="11" t="s">
        <v>474</v>
      </c>
      <c r="E237" s="11" t="s">
        <v>81</v>
      </c>
      <c r="F237" s="38">
        <v>890.5</v>
      </c>
      <c r="G237" s="38">
        <v>0</v>
      </c>
      <c r="H237" s="38">
        <f>F237*AE237</f>
        <v>0</v>
      </c>
      <c r="I237" s="38">
        <f>J237-H237</f>
        <v>0</v>
      </c>
      <c r="J237" s="38">
        <f>F237*G237</f>
        <v>0</v>
      </c>
      <c r="K237" s="38">
        <v>5E-05</v>
      </c>
      <c r="L237" s="38">
        <f>F237*K237</f>
        <v>0.044525</v>
      </c>
      <c r="M237" s="39" t="s">
        <v>53</v>
      </c>
      <c r="P237" s="38">
        <f>IF(AG237="5",J237,0)</f>
        <v>0</v>
      </c>
      <c r="R237" s="38">
        <f>IF(AG237="1",H237,0)</f>
        <v>0</v>
      </c>
      <c r="S237" s="38">
        <f>IF(AG237="1",I237,0)</f>
        <v>0</v>
      </c>
      <c r="T237" s="38">
        <f>IF(AG237="7",H237,0)</f>
        <v>0</v>
      </c>
      <c r="U237" s="38">
        <f>IF(AG237="7",I237,0)</f>
        <v>0</v>
      </c>
      <c r="V237" s="38">
        <f>IF(AG237="2",H237,0)</f>
        <v>0</v>
      </c>
      <c r="W237" s="38">
        <f>IF(AG237="2",I237,0)</f>
        <v>0</v>
      </c>
      <c r="X237" s="38">
        <f>IF(AG237="0",J237,0)</f>
        <v>0</v>
      </c>
      <c r="Y237" s="32"/>
      <c r="Z237" s="38">
        <f>IF(AD237=0,J237,0)</f>
        <v>0</v>
      </c>
      <c r="AA237" s="38">
        <f>IF(AD237=15,J237,0)</f>
        <v>0</v>
      </c>
      <c r="AB237" s="38">
        <f>IF(AD237=21,J237,0)</f>
        <v>0</v>
      </c>
      <c r="AD237" s="38">
        <v>15</v>
      </c>
      <c r="AE237" s="38">
        <f>G237*0.140683311418204</f>
        <v>0</v>
      </c>
      <c r="AF237" s="38">
        <f>G237*(1-0.140683311418204)</f>
        <v>0</v>
      </c>
      <c r="AG237" s="39" t="s">
        <v>49</v>
      </c>
      <c r="AM237" s="38">
        <f>F237*AE237</f>
        <v>0</v>
      </c>
      <c r="AN237" s="38">
        <f>F237*AF237</f>
        <v>0</v>
      </c>
      <c r="AO237" s="39" t="s">
        <v>463</v>
      </c>
      <c r="AP237" s="39" t="s">
        <v>457</v>
      </c>
      <c r="AQ237" s="32" t="s">
        <v>55</v>
      </c>
      <c r="AS237" s="38">
        <f>AM237+AN237</f>
        <v>0</v>
      </c>
      <c r="AT237" s="38">
        <f>G237/(100-AU237)*100</f>
        <v>0</v>
      </c>
      <c r="AU237" s="38">
        <v>0</v>
      </c>
      <c r="AV237" s="38">
        <f>L237</f>
        <v>0.044525</v>
      </c>
    </row>
    <row r="238" spans="4:6" ht="12.75">
      <c r="D238" s="40" t="s">
        <v>468</v>
      </c>
      <c r="F238" s="41">
        <v>890.5</v>
      </c>
    </row>
    <row r="239" spans="1:48" ht="12.75">
      <c r="A239" s="11" t="s">
        <v>475</v>
      </c>
      <c r="B239" s="11"/>
      <c r="C239" s="11" t="s">
        <v>476</v>
      </c>
      <c r="D239" s="11" t="s">
        <v>477</v>
      </c>
      <c r="E239" s="11" t="s">
        <v>114</v>
      </c>
      <c r="F239" s="38">
        <v>4</v>
      </c>
      <c r="G239" s="38">
        <v>0</v>
      </c>
      <c r="H239" s="38">
        <f>F239*AE239</f>
        <v>0</v>
      </c>
      <c r="I239" s="38">
        <f>J239-H239</f>
        <v>0</v>
      </c>
      <c r="J239" s="38">
        <f>F239*G239</f>
        <v>0</v>
      </c>
      <c r="K239" s="38">
        <v>0.02279</v>
      </c>
      <c r="L239" s="38">
        <f>F239*K239</f>
        <v>0.09116</v>
      </c>
      <c r="M239" s="39" t="s">
        <v>53</v>
      </c>
      <c r="P239" s="38">
        <f>IF(AG239="5",J239,0)</f>
        <v>0</v>
      </c>
      <c r="R239" s="38">
        <f>IF(AG239="1",H239,0)</f>
        <v>0</v>
      </c>
      <c r="S239" s="38">
        <f>IF(AG239="1",I239,0)</f>
        <v>0</v>
      </c>
      <c r="T239" s="38">
        <f>IF(AG239="7",H239,0)</f>
        <v>0</v>
      </c>
      <c r="U239" s="38">
        <f>IF(AG239="7",I239,0)</f>
        <v>0</v>
      </c>
      <c r="V239" s="38">
        <f>IF(AG239="2",H239,0)</f>
        <v>0</v>
      </c>
      <c r="W239" s="38">
        <f>IF(AG239="2",I239,0)</f>
        <v>0</v>
      </c>
      <c r="X239" s="38">
        <f>IF(AG239="0",J239,0)</f>
        <v>0</v>
      </c>
      <c r="Y239" s="32"/>
      <c r="Z239" s="38">
        <f>IF(AD239=0,J239,0)</f>
        <v>0</v>
      </c>
      <c r="AA239" s="38">
        <f>IF(AD239=15,J239,0)</f>
        <v>0</v>
      </c>
      <c r="AB239" s="38">
        <f>IF(AD239=21,J239,0)</f>
        <v>0</v>
      </c>
      <c r="AD239" s="38">
        <v>15</v>
      </c>
      <c r="AE239" s="38">
        <f>G239*0.415833333333333</f>
        <v>0</v>
      </c>
      <c r="AF239" s="38">
        <f>G239*(1-0.415833333333333)</f>
        <v>0</v>
      </c>
      <c r="AG239" s="39" t="s">
        <v>49</v>
      </c>
      <c r="AM239" s="38">
        <f>F239*AE239</f>
        <v>0</v>
      </c>
      <c r="AN239" s="38">
        <f>F239*AF239</f>
        <v>0</v>
      </c>
      <c r="AO239" s="39" t="s">
        <v>463</v>
      </c>
      <c r="AP239" s="39" t="s">
        <v>457</v>
      </c>
      <c r="AQ239" s="32" t="s">
        <v>55</v>
      </c>
      <c r="AS239" s="38">
        <f>AM239+AN239</f>
        <v>0</v>
      </c>
      <c r="AT239" s="38">
        <f>G239/(100-AU239)*100</f>
        <v>0</v>
      </c>
      <c r="AU239" s="38">
        <v>0</v>
      </c>
      <c r="AV239" s="38">
        <f>L239</f>
        <v>0.09116</v>
      </c>
    </row>
    <row r="240" spans="4:6" ht="12.75">
      <c r="D240" s="40" t="s">
        <v>62</v>
      </c>
      <c r="F240" s="41">
        <v>4</v>
      </c>
    </row>
    <row r="241" spans="1:48" ht="12.75">
      <c r="A241" s="11" t="s">
        <v>478</v>
      </c>
      <c r="B241" s="11"/>
      <c r="C241" s="11" t="s">
        <v>479</v>
      </c>
      <c r="D241" s="11" t="s">
        <v>480</v>
      </c>
      <c r="E241" s="11" t="s">
        <v>114</v>
      </c>
      <c r="F241" s="38">
        <v>4</v>
      </c>
      <c r="G241" s="38">
        <v>0</v>
      </c>
      <c r="H241" s="38">
        <f>F241*AE241</f>
        <v>0</v>
      </c>
      <c r="I241" s="38">
        <f>J241-H241</f>
        <v>0</v>
      </c>
      <c r="J241" s="38">
        <f>F241*G241</f>
        <v>0</v>
      </c>
      <c r="K241" s="38">
        <v>0.00176</v>
      </c>
      <c r="L241" s="38">
        <f>F241*K241</f>
        <v>0.00704</v>
      </c>
      <c r="M241" s="39" t="s">
        <v>53</v>
      </c>
      <c r="P241" s="38">
        <f>IF(AG241="5",J241,0)</f>
        <v>0</v>
      </c>
      <c r="R241" s="38">
        <f>IF(AG241="1",H241,0)</f>
        <v>0</v>
      </c>
      <c r="S241" s="38">
        <f>IF(AG241="1",I241,0)</f>
        <v>0</v>
      </c>
      <c r="T241" s="38">
        <f>IF(AG241="7",H241,0)</f>
        <v>0</v>
      </c>
      <c r="U241" s="38">
        <f>IF(AG241="7",I241,0)</f>
        <v>0</v>
      </c>
      <c r="V241" s="38">
        <f>IF(AG241="2",H241,0)</f>
        <v>0</v>
      </c>
      <c r="W241" s="38">
        <f>IF(AG241="2",I241,0)</f>
        <v>0</v>
      </c>
      <c r="X241" s="38">
        <f>IF(AG241="0",J241,0)</f>
        <v>0</v>
      </c>
      <c r="Y241" s="32"/>
      <c r="Z241" s="38">
        <f>IF(AD241=0,J241,0)</f>
        <v>0</v>
      </c>
      <c r="AA241" s="38">
        <f>IF(AD241=15,J241,0)</f>
        <v>0</v>
      </c>
      <c r="AB241" s="38">
        <f>IF(AD241=21,J241,0)</f>
        <v>0</v>
      </c>
      <c r="AD241" s="38">
        <v>15</v>
      </c>
      <c r="AE241" s="38">
        <f>G241*0.924193548387097</f>
        <v>0</v>
      </c>
      <c r="AF241" s="38">
        <f>G241*(1-0.924193548387097)</f>
        <v>0</v>
      </c>
      <c r="AG241" s="39" t="s">
        <v>49</v>
      </c>
      <c r="AM241" s="38">
        <f>F241*AE241</f>
        <v>0</v>
      </c>
      <c r="AN241" s="38">
        <f>F241*AF241</f>
        <v>0</v>
      </c>
      <c r="AO241" s="39" t="s">
        <v>463</v>
      </c>
      <c r="AP241" s="39" t="s">
        <v>457</v>
      </c>
      <c r="AQ241" s="32" t="s">
        <v>55</v>
      </c>
      <c r="AS241" s="38">
        <f>AM241+AN241</f>
        <v>0</v>
      </c>
      <c r="AT241" s="38">
        <f>G241/(100-AU241)*100</f>
        <v>0</v>
      </c>
      <c r="AU241" s="38">
        <v>0</v>
      </c>
      <c r="AV241" s="38">
        <f>L241</f>
        <v>0.00704</v>
      </c>
    </row>
    <row r="242" spans="4:6" ht="12.75">
      <c r="D242" s="40" t="s">
        <v>62</v>
      </c>
      <c r="F242" s="41">
        <v>4</v>
      </c>
    </row>
    <row r="243" spans="1:48" ht="12.75">
      <c r="A243" s="11" t="s">
        <v>481</v>
      </c>
      <c r="B243" s="11"/>
      <c r="C243" s="11" t="s">
        <v>482</v>
      </c>
      <c r="D243" s="11" t="s">
        <v>483</v>
      </c>
      <c r="E243" s="11" t="s">
        <v>114</v>
      </c>
      <c r="F243" s="38">
        <v>4</v>
      </c>
      <c r="G243" s="38">
        <v>0</v>
      </c>
      <c r="H243" s="38">
        <f>F243*AE243</f>
        <v>0</v>
      </c>
      <c r="I243" s="38">
        <f>J243-H243</f>
        <v>0</v>
      </c>
      <c r="J243" s="38">
        <f>F243*G243</f>
        <v>0</v>
      </c>
      <c r="K243" s="38">
        <v>0</v>
      </c>
      <c r="L243" s="38">
        <f>F243*K243</f>
        <v>0</v>
      </c>
      <c r="M243" s="39" t="s">
        <v>53</v>
      </c>
      <c r="P243" s="38">
        <f>IF(AG243="5",J243,0)</f>
        <v>0</v>
      </c>
      <c r="R243" s="38">
        <f>IF(AG243="1",H243,0)</f>
        <v>0</v>
      </c>
      <c r="S243" s="38">
        <f>IF(AG243="1",I243,0)</f>
        <v>0</v>
      </c>
      <c r="T243" s="38">
        <f>IF(AG243="7",H243,0)</f>
        <v>0</v>
      </c>
      <c r="U243" s="38">
        <f>IF(AG243="7",I243,0)</f>
        <v>0</v>
      </c>
      <c r="V243" s="38">
        <f>IF(AG243="2",H243,0)</f>
        <v>0</v>
      </c>
      <c r="W243" s="38">
        <f>IF(AG243="2",I243,0)</f>
        <v>0</v>
      </c>
      <c r="X243" s="38">
        <f>IF(AG243="0",J243,0)</f>
        <v>0</v>
      </c>
      <c r="Y243" s="32"/>
      <c r="Z243" s="38">
        <f>IF(AD243=0,J243,0)</f>
        <v>0</v>
      </c>
      <c r="AA243" s="38">
        <f>IF(AD243=15,J243,0)</f>
        <v>0</v>
      </c>
      <c r="AB243" s="38">
        <f>IF(AD243=21,J243,0)</f>
        <v>0</v>
      </c>
      <c r="AD243" s="38">
        <v>15</v>
      </c>
      <c r="AE243" s="38">
        <f>G243*0</f>
        <v>0</v>
      </c>
      <c r="AF243" s="38">
        <f>G243*(1-0)</f>
        <v>0</v>
      </c>
      <c r="AG243" s="39" t="s">
        <v>49</v>
      </c>
      <c r="AM243" s="38">
        <f>F243*AE243</f>
        <v>0</v>
      </c>
      <c r="AN243" s="38">
        <f>F243*AF243</f>
        <v>0</v>
      </c>
      <c r="AO243" s="39" t="s">
        <v>463</v>
      </c>
      <c r="AP243" s="39" t="s">
        <v>457</v>
      </c>
      <c r="AQ243" s="32" t="s">
        <v>55</v>
      </c>
      <c r="AS243" s="38">
        <f>AM243+AN243</f>
        <v>0</v>
      </c>
      <c r="AT243" s="38">
        <f>G243/(100-AU243)*100</f>
        <v>0</v>
      </c>
      <c r="AU243" s="38">
        <v>0</v>
      </c>
      <c r="AV243" s="38">
        <f>L243</f>
        <v>0</v>
      </c>
    </row>
    <row r="244" spans="4:6" ht="12.75">
      <c r="D244" s="40" t="s">
        <v>62</v>
      </c>
      <c r="F244" s="41">
        <v>4</v>
      </c>
    </row>
    <row r="245" spans="1:48" ht="12.75">
      <c r="A245" s="11" t="s">
        <v>87</v>
      </c>
      <c r="B245" s="11"/>
      <c r="C245" s="11" t="s">
        <v>484</v>
      </c>
      <c r="D245" s="11" t="s">
        <v>485</v>
      </c>
      <c r="E245" s="11" t="s">
        <v>301</v>
      </c>
      <c r="F245" s="38">
        <v>17.26704</v>
      </c>
      <c r="G245" s="38">
        <v>0</v>
      </c>
      <c r="H245" s="38">
        <f>F245*AE245</f>
        <v>0</v>
      </c>
      <c r="I245" s="38">
        <f>J245-H245</f>
        <v>0</v>
      </c>
      <c r="J245" s="38">
        <f>F245*G245</f>
        <v>0</v>
      </c>
      <c r="K245" s="38">
        <v>0</v>
      </c>
      <c r="L245" s="38">
        <f>F245*K245</f>
        <v>0</v>
      </c>
      <c r="M245" s="39" t="s">
        <v>53</v>
      </c>
      <c r="P245" s="38">
        <f>IF(AG245="5",J245,0)</f>
        <v>0</v>
      </c>
      <c r="R245" s="38">
        <f>IF(AG245="1",H245,0)</f>
        <v>0</v>
      </c>
      <c r="S245" s="38">
        <f>IF(AG245="1",I245,0)</f>
        <v>0</v>
      </c>
      <c r="T245" s="38">
        <f>IF(AG245="7",H245,0)</f>
        <v>0</v>
      </c>
      <c r="U245" s="38">
        <f>IF(AG245="7",I245,0)</f>
        <v>0</v>
      </c>
      <c r="V245" s="38">
        <f>IF(AG245="2",H245,0)</f>
        <v>0</v>
      </c>
      <c r="W245" s="38">
        <f>IF(AG245="2",I245,0)</f>
        <v>0</v>
      </c>
      <c r="X245" s="38">
        <f>IF(AG245="0",J245,0)</f>
        <v>0</v>
      </c>
      <c r="Y245" s="32"/>
      <c r="Z245" s="38">
        <f>IF(AD245=0,J245,0)</f>
        <v>0</v>
      </c>
      <c r="AA245" s="38">
        <f>IF(AD245=15,J245,0)</f>
        <v>0</v>
      </c>
      <c r="AB245" s="38">
        <f>IF(AD245=21,J245,0)</f>
        <v>0</v>
      </c>
      <c r="AD245" s="38">
        <v>15</v>
      </c>
      <c r="AE245" s="38">
        <f>G245*0</f>
        <v>0</v>
      </c>
      <c r="AF245" s="38">
        <f>G245*(1-0)</f>
        <v>0</v>
      </c>
      <c r="AG245" s="39" t="s">
        <v>71</v>
      </c>
      <c r="AM245" s="38">
        <f>F245*AE245</f>
        <v>0</v>
      </c>
      <c r="AN245" s="38">
        <f>F245*AF245</f>
        <v>0</v>
      </c>
      <c r="AO245" s="39" t="s">
        <v>463</v>
      </c>
      <c r="AP245" s="39" t="s">
        <v>457</v>
      </c>
      <c r="AQ245" s="32" t="s">
        <v>55</v>
      </c>
      <c r="AS245" s="38">
        <f>AM245+AN245</f>
        <v>0</v>
      </c>
      <c r="AT245" s="38">
        <f>G245/(100-AU245)*100</f>
        <v>0</v>
      </c>
      <c r="AU245" s="38">
        <v>0</v>
      </c>
      <c r="AV245" s="38">
        <f>L245</f>
        <v>0</v>
      </c>
    </row>
    <row r="246" spans="4:6" ht="12.75">
      <c r="D246" s="40" t="s">
        <v>486</v>
      </c>
      <c r="F246" s="41">
        <v>17.23</v>
      </c>
    </row>
    <row r="247" spans="1:37" ht="12.75">
      <c r="A247" s="42"/>
      <c r="B247" s="43"/>
      <c r="C247" s="43" t="s">
        <v>487</v>
      </c>
      <c r="D247" s="43" t="s">
        <v>488</v>
      </c>
      <c r="E247" s="42" t="s">
        <v>4</v>
      </c>
      <c r="F247" s="42" t="s">
        <v>4</v>
      </c>
      <c r="G247" s="42" t="s">
        <v>4</v>
      </c>
      <c r="H247" s="37">
        <f>SUM(H248:H248)</f>
        <v>0</v>
      </c>
      <c r="I247" s="37">
        <f>SUM(I248:I248)</f>
        <v>0</v>
      </c>
      <c r="J247" s="37">
        <f>H247+I247</f>
        <v>0</v>
      </c>
      <c r="K247" s="32"/>
      <c r="L247" s="37">
        <f>SUM(L248:L248)</f>
        <v>0.0104144</v>
      </c>
      <c r="M247" s="32"/>
      <c r="Y247" s="32"/>
      <c r="AI247" s="37">
        <f>SUM(Z248:Z248)</f>
        <v>0</v>
      </c>
      <c r="AJ247" s="37">
        <f>SUM(AA248:AA248)</f>
        <v>0</v>
      </c>
      <c r="AK247" s="37">
        <f>SUM(AB248:AB248)</f>
        <v>0</v>
      </c>
    </row>
    <row r="248" spans="1:48" ht="12.75">
      <c r="A248" s="11" t="s">
        <v>489</v>
      </c>
      <c r="B248" s="11"/>
      <c r="C248" s="11" t="s">
        <v>490</v>
      </c>
      <c r="D248" s="11" t="s">
        <v>491</v>
      </c>
      <c r="E248" s="11" t="s">
        <v>81</v>
      </c>
      <c r="F248" s="38">
        <v>260.36</v>
      </c>
      <c r="G248" s="38">
        <v>0</v>
      </c>
      <c r="H248" s="38">
        <f>F248*AE248</f>
        <v>0</v>
      </c>
      <c r="I248" s="38">
        <f>J248-H248</f>
        <v>0</v>
      </c>
      <c r="J248" s="38">
        <f>F248*G248</f>
        <v>0</v>
      </c>
      <c r="K248" s="38">
        <v>4E-05</v>
      </c>
      <c r="L248" s="38">
        <f>F248*K248</f>
        <v>0.0104144</v>
      </c>
      <c r="M248" s="39" t="s">
        <v>53</v>
      </c>
      <c r="P248" s="38">
        <f>IF(AG248="5",J248,0)</f>
        <v>0</v>
      </c>
      <c r="R248" s="38">
        <f>IF(AG248="1",H248,0)</f>
        <v>0</v>
      </c>
      <c r="S248" s="38">
        <f>IF(AG248="1",I248,0)</f>
        <v>0</v>
      </c>
      <c r="T248" s="38">
        <f>IF(AG248="7",H248,0)</f>
        <v>0</v>
      </c>
      <c r="U248" s="38">
        <f>IF(AG248="7",I248,0)</f>
        <v>0</v>
      </c>
      <c r="V248" s="38">
        <f>IF(AG248="2",H248,0)</f>
        <v>0</v>
      </c>
      <c r="W248" s="38">
        <f>IF(AG248="2",I248,0)</f>
        <v>0</v>
      </c>
      <c r="X248" s="38">
        <f>IF(AG248="0",J248,0)</f>
        <v>0</v>
      </c>
      <c r="Y248" s="32"/>
      <c r="Z248" s="38">
        <f>IF(AD248=0,J248,0)</f>
        <v>0</v>
      </c>
      <c r="AA248" s="38">
        <f>IF(AD248=15,J248,0)</f>
        <v>0</v>
      </c>
      <c r="AB248" s="38">
        <f>IF(AD248=21,J248,0)</f>
        <v>0</v>
      </c>
      <c r="AD248" s="38">
        <v>15</v>
      </c>
      <c r="AE248" s="38">
        <f>G248*0.014946914819824</f>
        <v>0</v>
      </c>
      <c r="AF248" s="38">
        <f>G248*(1-0.014946914819824)</f>
        <v>0</v>
      </c>
      <c r="AG248" s="39" t="s">
        <v>49</v>
      </c>
      <c r="AM248" s="38">
        <f>F248*AE248</f>
        <v>0</v>
      </c>
      <c r="AN248" s="38">
        <f>F248*AF248</f>
        <v>0</v>
      </c>
      <c r="AO248" s="39" t="s">
        <v>492</v>
      </c>
      <c r="AP248" s="39" t="s">
        <v>457</v>
      </c>
      <c r="AQ248" s="32" t="s">
        <v>55</v>
      </c>
      <c r="AS248" s="38">
        <f>AM248+AN248</f>
        <v>0</v>
      </c>
      <c r="AT248" s="38">
        <f>G248/(100-AU248)*100</f>
        <v>0</v>
      </c>
      <c r="AU248" s="38">
        <v>0</v>
      </c>
      <c r="AV248" s="38">
        <f>L248</f>
        <v>0.0104144</v>
      </c>
    </row>
    <row r="249" spans="4:6" ht="12.75">
      <c r="D249" s="40" t="s">
        <v>493</v>
      </c>
      <c r="F249" s="41">
        <v>260.36</v>
      </c>
    </row>
    <row r="250" spans="1:37" ht="12.75">
      <c r="A250" s="42"/>
      <c r="B250" s="43"/>
      <c r="C250" s="43" t="s">
        <v>494</v>
      </c>
      <c r="D250" s="43" t="s">
        <v>495</v>
      </c>
      <c r="E250" s="42" t="s">
        <v>4</v>
      </c>
      <c r="F250" s="42" t="s">
        <v>4</v>
      </c>
      <c r="G250" s="42" t="s">
        <v>4</v>
      </c>
      <c r="H250" s="37">
        <f>SUM(H251:H262)</f>
        <v>0</v>
      </c>
      <c r="I250" s="37">
        <f>SUM(I251:I262)</f>
        <v>0</v>
      </c>
      <c r="J250" s="37">
        <f>H250+I250</f>
        <v>0</v>
      </c>
      <c r="K250" s="32"/>
      <c r="L250" s="37">
        <f>SUM(L251:L262)</f>
        <v>9.32711008</v>
      </c>
      <c r="M250" s="32"/>
      <c r="Y250" s="32"/>
      <c r="AI250" s="37">
        <f>SUM(Z251:Z262)</f>
        <v>0</v>
      </c>
      <c r="AJ250" s="37">
        <f>SUM(AA251:AA262)</f>
        <v>0</v>
      </c>
      <c r="AK250" s="37">
        <f>SUM(AB251:AB262)</f>
        <v>0</v>
      </c>
    </row>
    <row r="251" spans="1:48" ht="12.75">
      <c r="A251" s="11" t="s">
        <v>496</v>
      </c>
      <c r="B251" s="11"/>
      <c r="C251" s="11" t="s">
        <v>497</v>
      </c>
      <c r="D251" s="11" t="s">
        <v>498</v>
      </c>
      <c r="E251" s="11" t="s">
        <v>65</v>
      </c>
      <c r="F251" s="38">
        <v>0.576</v>
      </c>
      <c r="G251" s="38">
        <v>0</v>
      </c>
      <c r="H251" s="38">
        <f>F251*AE251</f>
        <v>0</v>
      </c>
      <c r="I251" s="38">
        <f>J251-H251</f>
        <v>0</v>
      </c>
      <c r="J251" s="38">
        <f>F251*G251</f>
        <v>0</v>
      </c>
      <c r="K251" s="38">
        <v>2.27133</v>
      </c>
      <c r="L251" s="38">
        <f>F251*K251</f>
        <v>1.3082860799999998</v>
      </c>
      <c r="M251" s="39" t="s">
        <v>53</v>
      </c>
      <c r="P251" s="38">
        <f>IF(AG251="5",J251,0)</f>
        <v>0</v>
      </c>
      <c r="R251" s="38">
        <f>IF(AG251="1",H251,0)</f>
        <v>0</v>
      </c>
      <c r="S251" s="38">
        <f>IF(AG251="1",I251,0)</f>
        <v>0</v>
      </c>
      <c r="T251" s="38">
        <f>IF(AG251="7",H251,0)</f>
        <v>0</v>
      </c>
      <c r="U251" s="38">
        <f>IF(AG251="7",I251,0)</f>
        <v>0</v>
      </c>
      <c r="V251" s="38">
        <f>IF(AG251="2",H251,0)</f>
        <v>0</v>
      </c>
      <c r="W251" s="38">
        <f>IF(AG251="2",I251,0)</f>
        <v>0</v>
      </c>
      <c r="X251" s="38">
        <f>IF(AG251="0",J251,0)</f>
        <v>0</v>
      </c>
      <c r="Y251" s="32"/>
      <c r="Z251" s="38">
        <f>IF(AD251=0,J251,0)</f>
        <v>0</v>
      </c>
      <c r="AA251" s="38">
        <f>IF(AD251=15,J251,0)</f>
        <v>0</v>
      </c>
      <c r="AB251" s="38">
        <f>IF(AD251=21,J251,0)</f>
        <v>0</v>
      </c>
      <c r="AD251" s="38">
        <v>15</v>
      </c>
      <c r="AE251" s="38">
        <f>G251*0.048589215816802</f>
        <v>0</v>
      </c>
      <c r="AF251" s="38">
        <f>G251*(1-0.048589215816802)</f>
        <v>0</v>
      </c>
      <c r="AG251" s="39" t="s">
        <v>49</v>
      </c>
      <c r="AM251" s="38">
        <f>F251*AE251</f>
        <v>0</v>
      </c>
      <c r="AN251" s="38">
        <f>F251*AF251</f>
        <v>0</v>
      </c>
      <c r="AO251" s="39" t="s">
        <v>499</v>
      </c>
      <c r="AP251" s="39" t="s">
        <v>457</v>
      </c>
      <c r="AQ251" s="32" t="s">
        <v>55</v>
      </c>
      <c r="AS251" s="38">
        <f>AM251+AN251</f>
        <v>0</v>
      </c>
      <c r="AT251" s="38">
        <f>G251/(100-AU251)*100</f>
        <v>0</v>
      </c>
      <c r="AU251" s="38">
        <v>0</v>
      </c>
      <c r="AV251" s="38">
        <f>L251</f>
        <v>1.3082860799999998</v>
      </c>
    </row>
    <row r="252" spans="4:6" ht="12.75">
      <c r="D252" s="40" t="s">
        <v>500</v>
      </c>
      <c r="F252" s="41">
        <v>0.576</v>
      </c>
    </row>
    <row r="253" spans="1:48" ht="12.75">
      <c r="A253" s="11" t="s">
        <v>501</v>
      </c>
      <c r="B253" s="11"/>
      <c r="C253" s="11" t="s">
        <v>502</v>
      </c>
      <c r="D253" s="11" t="s">
        <v>503</v>
      </c>
      <c r="E253" s="11" t="s">
        <v>81</v>
      </c>
      <c r="F253" s="38">
        <v>4.2</v>
      </c>
      <c r="G253" s="38">
        <v>0</v>
      </c>
      <c r="H253" s="38">
        <f>F253*AE253</f>
        <v>0</v>
      </c>
      <c r="I253" s="38">
        <f>J253-H253</f>
        <v>0</v>
      </c>
      <c r="J253" s="38">
        <f>F253*G253</f>
        <v>0</v>
      </c>
      <c r="K253" s="38">
        <v>0.02</v>
      </c>
      <c r="L253" s="38">
        <f>F253*K253</f>
        <v>0.084</v>
      </c>
      <c r="M253" s="39" t="s">
        <v>53</v>
      </c>
      <c r="P253" s="38">
        <f>IF(AG253="5",J253,0)</f>
        <v>0</v>
      </c>
      <c r="R253" s="38">
        <f>IF(AG253="1",H253,0)</f>
        <v>0</v>
      </c>
      <c r="S253" s="38">
        <f>IF(AG253="1",I253,0)</f>
        <v>0</v>
      </c>
      <c r="T253" s="38">
        <f>IF(AG253="7",H253,0)</f>
        <v>0</v>
      </c>
      <c r="U253" s="38">
        <f>IF(AG253="7",I253,0)</f>
        <v>0</v>
      </c>
      <c r="V253" s="38">
        <f>IF(AG253="2",H253,0)</f>
        <v>0</v>
      </c>
      <c r="W253" s="38">
        <f>IF(AG253="2",I253,0)</f>
        <v>0</v>
      </c>
      <c r="X253" s="38">
        <f>IF(AG253="0",J253,0)</f>
        <v>0</v>
      </c>
      <c r="Y253" s="32"/>
      <c r="Z253" s="38">
        <f>IF(AD253=0,J253,0)</f>
        <v>0</v>
      </c>
      <c r="AA253" s="38">
        <f>IF(AD253=15,J253,0)</f>
        <v>0</v>
      </c>
      <c r="AB253" s="38">
        <f>IF(AD253=21,J253,0)</f>
        <v>0</v>
      </c>
      <c r="AD253" s="38">
        <v>15</v>
      </c>
      <c r="AE253" s="38">
        <f>G253*0</f>
        <v>0</v>
      </c>
      <c r="AF253" s="38">
        <f>G253*(1-0)</f>
        <v>0</v>
      </c>
      <c r="AG253" s="39" t="s">
        <v>49</v>
      </c>
      <c r="AM253" s="38">
        <f>F253*AE253</f>
        <v>0</v>
      </c>
      <c r="AN253" s="38">
        <f>F253*AF253</f>
        <v>0</v>
      </c>
      <c r="AO253" s="39" t="s">
        <v>499</v>
      </c>
      <c r="AP253" s="39" t="s">
        <v>457</v>
      </c>
      <c r="AQ253" s="32" t="s">
        <v>55</v>
      </c>
      <c r="AS253" s="38">
        <f>AM253+AN253</f>
        <v>0</v>
      </c>
      <c r="AT253" s="38">
        <f>G253/(100-AU253)*100</f>
        <v>0</v>
      </c>
      <c r="AU253" s="38">
        <v>0</v>
      </c>
      <c r="AV253" s="38">
        <f>L253</f>
        <v>0.084</v>
      </c>
    </row>
    <row r="254" spans="4:6" ht="12.75">
      <c r="D254" s="40" t="s">
        <v>504</v>
      </c>
      <c r="F254" s="41">
        <v>4.2</v>
      </c>
    </row>
    <row r="255" spans="1:48" ht="12.75">
      <c r="A255" s="11" t="s">
        <v>450</v>
      </c>
      <c r="B255" s="11"/>
      <c r="C255" s="11" t="s">
        <v>505</v>
      </c>
      <c r="D255" s="11" t="s">
        <v>506</v>
      </c>
      <c r="E255" s="11" t="s">
        <v>114</v>
      </c>
      <c r="F255" s="38">
        <v>80.65</v>
      </c>
      <c r="G255" s="38">
        <v>0</v>
      </c>
      <c r="H255" s="38">
        <f>F255*AE255</f>
        <v>0</v>
      </c>
      <c r="I255" s="38">
        <f>J255-H255</f>
        <v>0</v>
      </c>
      <c r="J255" s="38">
        <f>F255*G255</f>
        <v>0</v>
      </c>
      <c r="K255" s="38">
        <v>0.08</v>
      </c>
      <c r="L255" s="38">
        <f>F255*K255</f>
        <v>6.452000000000001</v>
      </c>
      <c r="M255" s="39" t="s">
        <v>53</v>
      </c>
      <c r="P255" s="38">
        <f>IF(AG255="5",J255,0)</f>
        <v>0</v>
      </c>
      <c r="R255" s="38">
        <f>IF(AG255="1",H255,0)</f>
        <v>0</v>
      </c>
      <c r="S255" s="38">
        <f>IF(AG255="1",I255,0)</f>
        <v>0</v>
      </c>
      <c r="T255" s="38">
        <f>IF(AG255="7",H255,0)</f>
        <v>0</v>
      </c>
      <c r="U255" s="38">
        <f>IF(AG255="7",I255,0)</f>
        <v>0</v>
      </c>
      <c r="V255" s="38">
        <f>IF(AG255="2",H255,0)</f>
        <v>0</v>
      </c>
      <c r="W255" s="38">
        <f>IF(AG255="2",I255,0)</f>
        <v>0</v>
      </c>
      <c r="X255" s="38">
        <f>IF(AG255="0",J255,0)</f>
        <v>0</v>
      </c>
      <c r="Y255" s="32"/>
      <c r="Z255" s="38">
        <f>IF(AD255=0,J255,0)</f>
        <v>0</v>
      </c>
      <c r="AA255" s="38">
        <f>IF(AD255=15,J255,0)</f>
        <v>0</v>
      </c>
      <c r="AB255" s="38">
        <f>IF(AD255=21,J255,0)</f>
        <v>0</v>
      </c>
      <c r="AD255" s="38">
        <v>15</v>
      </c>
      <c r="AE255" s="38">
        <f>G255*0</f>
        <v>0</v>
      </c>
      <c r="AF255" s="38">
        <f>G255*(1-0)</f>
        <v>0</v>
      </c>
      <c r="AG255" s="39" t="s">
        <v>49</v>
      </c>
      <c r="AM255" s="38">
        <f>F255*AE255</f>
        <v>0</v>
      </c>
      <c r="AN255" s="38">
        <f>F255*AF255</f>
        <v>0</v>
      </c>
      <c r="AO255" s="39" t="s">
        <v>499</v>
      </c>
      <c r="AP255" s="39" t="s">
        <v>457</v>
      </c>
      <c r="AQ255" s="32" t="s">
        <v>55</v>
      </c>
      <c r="AS255" s="38">
        <f>AM255+AN255</f>
        <v>0</v>
      </c>
      <c r="AT255" s="38">
        <f>G255/(100-AU255)*100</f>
        <v>0</v>
      </c>
      <c r="AU255" s="38">
        <v>0</v>
      </c>
      <c r="AV255" s="38">
        <f>L255</f>
        <v>6.452000000000001</v>
      </c>
    </row>
    <row r="256" spans="4:6" ht="12.75">
      <c r="D256" s="40" t="s">
        <v>507</v>
      </c>
      <c r="F256" s="41">
        <v>80.65</v>
      </c>
    </row>
    <row r="257" spans="1:48" ht="12.75">
      <c r="A257" s="11" t="s">
        <v>508</v>
      </c>
      <c r="B257" s="11"/>
      <c r="C257" s="11" t="s">
        <v>509</v>
      </c>
      <c r="D257" s="11" t="s">
        <v>510</v>
      </c>
      <c r="E257" s="11" t="s">
        <v>65</v>
      </c>
      <c r="F257" s="38">
        <v>0.392</v>
      </c>
      <c r="G257" s="38">
        <v>0</v>
      </c>
      <c r="H257" s="38">
        <f>F257*AE257</f>
        <v>0</v>
      </c>
      <c r="I257" s="38">
        <f>J257-H257</f>
        <v>0</v>
      </c>
      <c r="J257" s="38">
        <f>F257*G257</f>
        <v>0</v>
      </c>
      <c r="K257" s="38">
        <v>2.2</v>
      </c>
      <c r="L257" s="38">
        <f>F257*K257</f>
        <v>0.8624</v>
      </c>
      <c r="M257" s="39" t="s">
        <v>53</v>
      </c>
      <c r="P257" s="38">
        <f>IF(AG257="5",J257,0)</f>
        <v>0</v>
      </c>
      <c r="R257" s="38">
        <f>IF(AG257="1",H257,0)</f>
        <v>0</v>
      </c>
      <c r="S257" s="38">
        <f>IF(AG257="1",I257,0)</f>
        <v>0</v>
      </c>
      <c r="T257" s="38">
        <f>IF(AG257="7",H257,0)</f>
        <v>0</v>
      </c>
      <c r="U257" s="38">
        <f>IF(AG257="7",I257,0)</f>
        <v>0</v>
      </c>
      <c r="V257" s="38">
        <f>IF(AG257="2",H257,0)</f>
        <v>0</v>
      </c>
      <c r="W257" s="38">
        <f>IF(AG257="2",I257,0)</f>
        <v>0</v>
      </c>
      <c r="X257" s="38">
        <f>IF(AG257="0",J257,0)</f>
        <v>0</v>
      </c>
      <c r="Y257" s="32"/>
      <c r="Z257" s="38">
        <f>IF(AD257=0,J257,0)</f>
        <v>0</v>
      </c>
      <c r="AA257" s="38">
        <f>IF(AD257=15,J257,0)</f>
        <v>0</v>
      </c>
      <c r="AB257" s="38">
        <f>IF(AD257=21,J257,0)</f>
        <v>0</v>
      </c>
      <c r="AD257" s="38">
        <v>15</v>
      </c>
      <c r="AE257" s="38">
        <f>G257*0</f>
        <v>0</v>
      </c>
      <c r="AF257" s="38">
        <f>G257*(1-0)</f>
        <v>0</v>
      </c>
      <c r="AG257" s="39" t="s">
        <v>49</v>
      </c>
      <c r="AM257" s="38">
        <f>F257*AE257</f>
        <v>0</v>
      </c>
      <c r="AN257" s="38">
        <f>F257*AF257</f>
        <v>0</v>
      </c>
      <c r="AO257" s="39" t="s">
        <v>499</v>
      </c>
      <c r="AP257" s="39" t="s">
        <v>457</v>
      </c>
      <c r="AQ257" s="32" t="s">
        <v>55</v>
      </c>
      <c r="AS257" s="38">
        <f>AM257+AN257</f>
        <v>0</v>
      </c>
      <c r="AT257" s="38">
        <f>G257/(100-AU257)*100</f>
        <v>0</v>
      </c>
      <c r="AU257" s="38">
        <v>0</v>
      </c>
      <c r="AV257" s="38">
        <f>L257</f>
        <v>0.8624</v>
      </c>
    </row>
    <row r="258" spans="4:6" ht="12.75">
      <c r="D258" s="40" t="s">
        <v>511</v>
      </c>
      <c r="F258" s="41">
        <v>0.392</v>
      </c>
    </row>
    <row r="259" spans="1:48" ht="12.75">
      <c r="A259" s="11" t="s">
        <v>512</v>
      </c>
      <c r="B259" s="11"/>
      <c r="C259" s="11" t="s">
        <v>513</v>
      </c>
      <c r="D259" s="11" t="s">
        <v>514</v>
      </c>
      <c r="E259" s="11" t="s">
        <v>81</v>
      </c>
      <c r="F259" s="38">
        <v>5.4</v>
      </c>
      <c r="G259" s="38">
        <v>0</v>
      </c>
      <c r="H259" s="38">
        <f>F259*AE259</f>
        <v>0</v>
      </c>
      <c r="I259" s="38">
        <f>J259-H259</f>
        <v>0</v>
      </c>
      <c r="J259" s="38">
        <f>F259*G259</f>
        <v>0</v>
      </c>
      <c r="K259" s="38">
        <v>0.08917</v>
      </c>
      <c r="L259" s="38">
        <f>F259*K259</f>
        <v>0.481518</v>
      </c>
      <c r="M259" s="39" t="s">
        <v>53</v>
      </c>
      <c r="P259" s="38">
        <f>IF(AG259="5",J259,0)</f>
        <v>0</v>
      </c>
      <c r="R259" s="38">
        <f>IF(AG259="1",H259,0)</f>
        <v>0</v>
      </c>
      <c r="S259" s="38">
        <f>IF(AG259="1",I259,0)</f>
        <v>0</v>
      </c>
      <c r="T259" s="38">
        <f>IF(AG259="7",H259,0)</f>
        <v>0</v>
      </c>
      <c r="U259" s="38">
        <f>IF(AG259="7",I259,0)</f>
        <v>0</v>
      </c>
      <c r="V259" s="38">
        <f>IF(AG259="2",H259,0)</f>
        <v>0</v>
      </c>
      <c r="W259" s="38">
        <f>IF(AG259="2",I259,0)</f>
        <v>0</v>
      </c>
      <c r="X259" s="38">
        <f>IF(AG259="0",J259,0)</f>
        <v>0</v>
      </c>
      <c r="Y259" s="32"/>
      <c r="Z259" s="38">
        <f>IF(AD259=0,J259,0)</f>
        <v>0</v>
      </c>
      <c r="AA259" s="38">
        <f>IF(AD259=15,J259,0)</f>
        <v>0</v>
      </c>
      <c r="AB259" s="38">
        <f>IF(AD259=21,J259,0)</f>
        <v>0</v>
      </c>
      <c r="AD259" s="38">
        <v>15</v>
      </c>
      <c r="AE259" s="38">
        <f>G259*0.143556701030928</f>
        <v>0</v>
      </c>
      <c r="AF259" s="38">
        <f>G259*(1-0.143556701030928)</f>
        <v>0</v>
      </c>
      <c r="AG259" s="39" t="s">
        <v>49</v>
      </c>
      <c r="AM259" s="38">
        <f>F259*AE259</f>
        <v>0</v>
      </c>
      <c r="AN259" s="38">
        <f>F259*AF259</f>
        <v>0</v>
      </c>
      <c r="AO259" s="39" t="s">
        <v>499</v>
      </c>
      <c r="AP259" s="39" t="s">
        <v>457</v>
      </c>
      <c r="AQ259" s="32" t="s">
        <v>55</v>
      </c>
      <c r="AS259" s="38">
        <f>AM259+AN259</f>
        <v>0</v>
      </c>
      <c r="AT259" s="38">
        <f>G259/(100-AU259)*100</f>
        <v>0</v>
      </c>
      <c r="AU259" s="38">
        <v>0</v>
      </c>
      <c r="AV259" s="38">
        <f>L259</f>
        <v>0.481518</v>
      </c>
    </row>
    <row r="260" spans="4:6" ht="12.75">
      <c r="D260" s="40" t="s">
        <v>515</v>
      </c>
      <c r="F260" s="41">
        <v>1.8</v>
      </c>
    </row>
    <row r="261" spans="4:6" ht="12.75">
      <c r="D261" s="40" t="s">
        <v>516</v>
      </c>
      <c r="F261" s="41">
        <v>3.6</v>
      </c>
    </row>
    <row r="262" spans="1:48" ht="12.75">
      <c r="A262" s="11" t="s">
        <v>517</v>
      </c>
      <c r="B262" s="11"/>
      <c r="C262" s="11" t="s">
        <v>518</v>
      </c>
      <c r="D262" s="11" t="s">
        <v>519</v>
      </c>
      <c r="E262" s="11" t="s">
        <v>81</v>
      </c>
      <c r="F262" s="38">
        <v>1.8</v>
      </c>
      <c r="G262" s="38">
        <v>0</v>
      </c>
      <c r="H262" s="38">
        <f>F262*AE262</f>
        <v>0</v>
      </c>
      <c r="I262" s="38">
        <f>J262-H262</f>
        <v>0</v>
      </c>
      <c r="J262" s="38">
        <f>F262*G262</f>
        <v>0</v>
      </c>
      <c r="K262" s="38">
        <v>0.07717</v>
      </c>
      <c r="L262" s="38">
        <f>F262*K262</f>
        <v>0.138906</v>
      </c>
      <c r="M262" s="39" t="s">
        <v>53</v>
      </c>
      <c r="P262" s="38">
        <f>IF(AG262="5",J262,0)</f>
        <v>0</v>
      </c>
      <c r="R262" s="38">
        <f>IF(AG262="1",H262,0)</f>
        <v>0</v>
      </c>
      <c r="S262" s="38">
        <f>IF(AG262="1",I262,0)</f>
        <v>0</v>
      </c>
      <c r="T262" s="38">
        <f>IF(AG262="7",H262,0)</f>
        <v>0</v>
      </c>
      <c r="U262" s="38">
        <f>IF(AG262="7",I262,0)</f>
        <v>0</v>
      </c>
      <c r="V262" s="38">
        <f>IF(AG262="2",H262,0)</f>
        <v>0</v>
      </c>
      <c r="W262" s="38">
        <f>IF(AG262="2",I262,0)</f>
        <v>0</v>
      </c>
      <c r="X262" s="38">
        <f>IF(AG262="0",J262,0)</f>
        <v>0</v>
      </c>
      <c r="Y262" s="32"/>
      <c r="Z262" s="38">
        <f>IF(AD262=0,J262,0)</f>
        <v>0</v>
      </c>
      <c r="AA262" s="38">
        <f>IF(AD262=15,J262,0)</f>
        <v>0</v>
      </c>
      <c r="AB262" s="38">
        <f>IF(AD262=21,J262,0)</f>
        <v>0</v>
      </c>
      <c r="AD262" s="38">
        <v>15</v>
      </c>
      <c r="AE262" s="38">
        <f>G262*0.0910097672560909</f>
        <v>0</v>
      </c>
      <c r="AF262" s="38">
        <f>G262*(1-0.0910097672560909)</f>
        <v>0</v>
      </c>
      <c r="AG262" s="39" t="s">
        <v>49</v>
      </c>
      <c r="AM262" s="38">
        <f>F262*AE262</f>
        <v>0</v>
      </c>
      <c r="AN262" s="38">
        <f>F262*AF262</f>
        <v>0</v>
      </c>
      <c r="AO262" s="39" t="s">
        <v>499</v>
      </c>
      <c r="AP262" s="39" t="s">
        <v>457</v>
      </c>
      <c r="AQ262" s="32" t="s">
        <v>55</v>
      </c>
      <c r="AS262" s="38">
        <f>AM262+AN262</f>
        <v>0</v>
      </c>
      <c r="AT262" s="38">
        <f>G262/(100-AU262)*100</f>
        <v>0</v>
      </c>
      <c r="AU262" s="38">
        <v>0</v>
      </c>
      <c r="AV262" s="38">
        <f>L262</f>
        <v>0.138906</v>
      </c>
    </row>
    <row r="263" spans="4:6" ht="12.75">
      <c r="D263" s="40" t="s">
        <v>515</v>
      </c>
      <c r="F263" s="41">
        <v>1.8</v>
      </c>
    </row>
    <row r="264" spans="1:37" ht="12.75">
      <c r="A264" s="42"/>
      <c r="B264" s="43"/>
      <c r="C264" s="43" t="s">
        <v>520</v>
      </c>
      <c r="D264" s="43" t="s">
        <v>521</v>
      </c>
      <c r="E264" s="42" t="s">
        <v>4</v>
      </c>
      <c r="F264" s="42" t="s">
        <v>4</v>
      </c>
      <c r="G264" s="42" t="s">
        <v>4</v>
      </c>
      <c r="H264" s="37">
        <f>SUM(H265:H267)</f>
        <v>0</v>
      </c>
      <c r="I264" s="37">
        <f>SUM(I265:I267)</f>
        <v>0</v>
      </c>
      <c r="J264" s="37">
        <f>H264+I264</f>
        <v>0</v>
      </c>
      <c r="K264" s="32"/>
      <c r="L264" s="37">
        <f>SUM(L265:L267)</f>
        <v>7.277764999999999</v>
      </c>
      <c r="M264" s="32"/>
      <c r="Y264" s="32"/>
      <c r="AI264" s="37">
        <f>SUM(Z265:Z267)</f>
        <v>0</v>
      </c>
      <c r="AJ264" s="37">
        <f>SUM(AA265:AA267)</f>
        <v>0</v>
      </c>
      <c r="AK264" s="37">
        <f>SUM(AB265:AB267)</f>
        <v>0</v>
      </c>
    </row>
    <row r="265" spans="1:48" ht="12.75">
      <c r="A265" s="11" t="s">
        <v>458</v>
      </c>
      <c r="B265" s="11"/>
      <c r="C265" s="11" t="s">
        <v>522</v>
      </c>
      <c r="D265" s="11" t="s">
        <v>523</v>
      </c>
      <c r="E265" s="11" t="s">
        <v>114</v>
      </c>
      <c r="F265" s="38">
        <v>3.5</v>
      </c>
      <c r="G265" s="38">
        <v>0</v>
      </c>
      <c r="H265" s="38">
        <f>F265*AE265</f>
        <v>0</v>
      </c>
      <c r="I265" s="38">
        <f>J265-H265</f>
        <v>0</v>
      </c>
      <c r="J265" s="38">
        <f>F265*G265</f>
        <v>0</v>
      </c>
      <c r="K265" s="38">
        <v>0.00214</v>
      </c>
      <c r="L265" s="38">
        <f>F265*K265</f>
        <v>0.00749</v>
      </c>
      <c r="M265" s="39" t="s">
        <v>53</v>
      </c>
      <c r="P265" s="38">
        <f>IF(AG265="5",J265,0)</f>
        <v>0</v>
      </c>
      <c r="R265" s="38">
        <f>IF(AG265="1",H265,0)</f>
        <v>0</v>
      </c>
      <c r="S265" s="38">
        <f>IF(AG265="1",I265,0)</f>
        <v>0</v>
      </c>
      <c r="T265" s="38">
        <f>IF(AG265="7",H265,0)</f>
        <v>0</v>
      </c>
      <c r="U265" s="38">
        <f>IF(AG265="7",I265,0)</f>
        <v>0</v>
      </c>
      <c r="V265" s="38">
        <f>IF(AG265="2",H265,0)</f>
        <v>0</v>
      </c>
      <c r="W265" s="38">
        <f>IF(AG265="2",I265,0)</f>
        <v>0</v>
      </c>
      <c r="X265" s="38">
        <f>IF(AG265="0",J265,0)</f>
        <v>0</v>
      </c>
      <c r="Y265" s="32"/>
      <c r="Z265" s="38">
        <f>IF(AD265=0,J265,0)</f>
        <v>0</v>
      </c>
      <c r="AA265" s="38">
        <f>IF(AD265=15,J265,0)</f>
        <v>0</v>
      </c>
      <c r="AB265" s="38">
        <f>IF(AD265=21,J265,0)</f>
        <v>0</v>
      </c>
      <c r="AD265" s="38">
        <v>15</v>
      </c>
      <c r="AE265" s="38">
        <f>G265*0.369151898734177</f>
        <v>0</v>
      </c>
      <c r="AF265" s="38">
        <f>G265*(1-0.369151898734177)</f>
        <v>0</v>
      </c>
      <c r="AG265" s="39" t="s">
        <v>49</v>
      </c>
      <c r="AM265" s="38">
        <f>F265*AE265</f>
        <v>0</v>
      </c>
      <c r="AN265" s="38">
        <f>F265*AF265</f>
        <v>0</v>
      </c>
      <c r="AO265" s="39" t="s">
        <v>524</v>
      </c>
      <c r="AP265" s="39" t="s">
        <v>457</v>
      </c>
      <c r="AQ265" s="32" t="s">
        <v>55</v>
      </c>
      <c r="AS265" s="38">
        <f>AM265+AN265</f>
        <v>0</v>
      </c>
      <c r="AT265" s="38">
        <f>G265/(100-AU265)*100</f>
        <v>0</v>
      </c>
      <c r="AU265" s="38">
        <v>0</v>
      </c>
      <c r="AV265" s="38">
        <f>L265</f>
        <v>0.00749</v>
      </c>
    </row>
    <row r="266" spans="4:6" ht="12.75">
      <c r="D266" s="40" t="s">
        <v>525</v>
      </c>
      <c r="F266" s="41">
        <v>3.5</v>
      </c>
    </row>
    <row r="267" spans="1:48" ht="12.75">
      <c r="A267" s="11" t="s">
        <v>487</v>
      </c>
      <c r="B267" s="11"/>
      <c r="C267" s="11" t="s">
        <v>526</v>
      </c>
      <c r="D267" s="11" t="s">
        <v>527</v>
      </c>
      <c r="E267" s="11" t="s">
        <v>81</v>
      </c>
      <c r="F267" s="38">
        <v>123.225</v>
      </c>
      <c r="G267" s="38">
        <v>0</v>
      </c>
      <c r="H267" s="38">
        <f>F267*AE267</f>
        <v>0</v>
      </c>
      <c r="I267" s="38">
        <f>J267-H267</f>
        <v>0</v>
      </c>
      <c r="J267" s="38">
        <f>F267*G267</f>
        <v>0</v>
      </c>
      <c r="K267" s="38">
        <v>0.059</v>
      </c>
      <c r="L267" s="38">
        <f>F267*K267</f>
        <v>7.270274999999999</v>
      </c>
      <c r="M267" s="39" t="s">
        <v>53</v>
      </c>
      <c r="P267" s="38">
        <f>IF(AG267="5",J267,0)</f>
        <v>0</v>
      </c>
      <c r="R267" s="38">
        <f>IF(AG267="1",H267,0)</f>
        <v>0</v>
      </c>
      <c r="S267" s="38">
        <f>IF(AG267="1",I267,0)</f>
        <v>0</v>
      </c>
      <c r="T267" s="38">
        <f>IF(AG267="7",H267,0)</f>
        <v>0</v>
      </c>
      <c r="U267" s="38">
        <f>IF(AG267="7",I267,0)</f>
        <v>0</v>
      </c>
      <c r="V267" s="38">
        <f>IF(AG267="2",H267,0)</f>
        <v>0</v>
      </c>
      <c r="W267" s="38">
        <f>IF(AG267="2",I267,0)</f>
        <v>0</v>
      </c>
      <c r="X267" s="38">
        <f>IF(AG267="0",J267,0)</f>
        <v>0</v>
      </c>
      <c r="Y267" s="32"/>
      <c r="Z267" s="38">
        <f>IF(AD267=0,J267,0)</f>
        <v>0</v>
      </c>
      <c r="AA267" s="38">
        <f>IF(AD267=15,J267,0)</f>
        <v>0</v>
      </c>
      <c r="AB267" s="38">
        <f>IF(AD267=21,J267,0)</f>
        <v>0</v>
      </c>
      <c r="AD267" s="38">
        <v>15</v>
      </c>
      <c r="AE267" s="38">
        <f>G267*0</f>
        <v>0</v>
      </c>
      <c r="AF267" s="38">
        <f>G267*(1-0)</f>
        <v>0</v>
      </c>
      <c r="AG267" s="39" t="s">
        <v>49</v>
      </c>
      <c r="AM267" s="38">
        <f>F267*AE267</f>
        <v>0</v>
      </c>
      <c r="AN267" s="38">
        <f>F267*AF267</f>
        <v>0</v>
      </c>
      <c r="AO267" s="39" t="s">
        <v>524</v>
      </c>
      <c r="AP267" s="39" t="s">
        <v>457</v>
      </c>
      <c r="AQ267" s="32" t="s">
        <v>55</v>
      </c>
      <c r="AS267" s="38">
        <f>AM267+AN267</f>
        <v>0</v>
      </c>
      <c r="AT267" s="38">
        <f>G267/(100-AU267)*100</f>
        <v>0</v>
      </c>
      <c r="AU267" s="38">
        <v>0</v>
      </c>
      <c r="AV267" s="38">
        <f>L267</f>
        <v>7.270274999999999</v>
      </c>
    </row>
    <row r="268" spans="4:6" ht="12.75">
      <c r="D268" s="40" t="s">
        <v>528</v>
      </c>
      <c r="F268" s="41">
        <v>127.275</v>
      </c>
    </row>
    <row r="269" spans="4:6" ht="12.75">
      <c r="D269" s="40" t="s">
        <v>529</v>
      </c>
      <c r="F269" s="41">
        <v>-6.3</v>
      </c>
    </row>
    <row r="270" spans="4:6" ht="12.75">
      <c r="D270" s="40" t="s">
        <v>530</v>
      </c>
      <c r="F270" s="41">
        <v>2.25</v>
      </c>
    </row>
    <row r="271" spans="1:37" ht="12.75">
      <c r="A271" s="42"/>
      <c r="B271" s="43"/>
      <c r="C271" s="43" t="s">
        <v>531</v>
      </c>
      <c r="D271" s="43" t="s">
        <v>532</v>
      </c>
      <c r="E271" s="42" t="s">
        <v>4</v>
      </c>
      <c r="F271" s="42" t="s">
        <v>4</v>
      </c>
      <c r="G271" s="42" t="s">
        <v>4</v>
      </c>
      <c r="H271" s="37">
        <f>SUM(H272:H272)</f>
        <v>0</v>
      </c>
      <c r="I271" s="37">
        <f>SUM(I272:I272)</f>
        <v>0</v>
      </c>
      <c r="J271" s="37">
        <f>H271+I271</f>
        <v>0</v>
      </c>
      <c r="K271" s="32"/>
      <c r="L271" s="37">
        <f>SUM(L272:L272)</f>
        <v>0</v>
      </c>
      <c r="M271" s="32"/>
      <c r="Y271" s="32"/>
      <c r="AI271" s="37">
        <f>SUM(Z272:Z272)</f>
        <v>0</v>
      </c>
      <c r="AJ271" s="37">
        <f>SUM(AA272:AA272)</f>
        <v>0</v>
      </c>
      <c r="AK271" s="37">
        <f>SUM(AB272:AB272)</f>
        <v>0</v>
      </c>
    </row>
    <row r="272" spans="1:48" ht="12.75">
      <c r="A272" s="11" t="s">
        <v>494</v>
      </c>
      <c r="B272" s="11"/>
      <c r="C272" s="11" t="s">
        <v>533</v>
      </c>
      <c r="D272" s="11" t="s">
        <v>534</v>
      </c>
      <c r="E272" s="11" t="s">
        <v>301</v>
      </c>
      <c r="F272" s="38">
        <v>36.63</v>
      </c>
      <c r="G272" s="38">
        <v>0</v>
      </c>
      <c r="H272" s="38">
        <f>F272*AE272</f>
        <v>0</v>
      </c>
      <c r="I272" s="38">
        <f>J272-H272</f>
        <v>0</v>
      </c>
      <c r="J272" s="38">
        <f>F272*G272</f>
        <v>0</v>
      </c>
      <c r="K272" s="38">
        <v>0</v>
      </c>
      <c r="L272" s="38">
        <f>F272*K272</f>
        <v>0</v>
      </c>
      <c r="M272" s="39" t="s">
        <v>53</v>
      </c>
      <c r="P272" s="38">
        <f>IF(AG272="5",J272,0)</f>
        <v>0</v>
      </c>
      <c r="R272" s="38">
        <f>IF(AG272="1",H272,0)</f>
        <v>0</v>
      </c>
      <c r="S272" s="38">
        <f>IF(AG272="1",I272,0)</f>
        <v>0</v>
      </c>
      <c r="T272" s="38">
        <f>IF(AG272="7",H272,0)</f>
        <v>0</v>
      </c>
      <c r="U272" s="38">
        <f>IF(AG272="7",I272,0)</f>
        <v>0</v>
      </c>
      <c r="V272" s="38">
        <f>IF(AG272="2",H272,0)</f>
        <v>0</v>
      </c>
      <c r="W272" s="38">
        <f>IF(AG272="2",I272,0)</f>
        <v>0</v>
      </c>
      <c r="X272" s="38">
        <f>IF(AG272="0",J272,0)</f>
        <v>0</v>
      </c>
      <c r="Y272" s="32"/>
      <c r="Z272" s="38">
        <f>IF(AD272=0,J272,0)</f>
        <v>0</v>
      </c>
      <c r="AA272" s="38">
        <f>IF(AD272=15,J272,0)</f>
        <v>0</v>
      </c>
      <c r="AB272" s="38">
        <f>IF(AD272=21,J272,0)</f>
        <v>0</v>
      </c>
      <c r="AD272" s="38">
        <v>15</v>
      </c>
      <c r="AE272" s="38">
        <f>G272*0</f>
        <v>0</v>
      </c>
      <c r="AF272" s="38">
        <f>G272*(1-0)</f>
        <v>0</v>
      </c>
      <c r="AG272" s="39" t="s">
        <v>71</v>
      </c>
      <c r="AM272" s="38">
        <f>F272*AE272</f>
        <v>0</v>
      </c>
      <c r="AN272" s="38">
        <f>F272*AF272</f>
        <v>0</v>
      </c>
      <c r="AO272" s="39" t="s">
        <v>535</v>
      </c>
      <c r="AP272" s="39" t="s">
        <v>457</v>
      </c>
      <c r="AQ272" s="32" t="s">
        <v>55</v>
      </c>
      <c r="AS272" s="38">
        <f>AM272+AN272</f>
        <v>0</v>
      </c>
      <c r="AT272" s="38">
        <f>G272/(100-AU272)*100</f>
        <v>0</v>
      </c>
      <c r="AU272" s="38">
        <v>0</v>
      </c>
      <c r="AV272" s="38">
        <f>L272</f>
        <v>0</v>
      </c>
    </row>
    <row r="273" spans="4:6" ht="12.75">
      <c r="D273" s="40" t="s">
        <v>536</v>
      </c>
      <c r="F273" s="41">
        <v>36.63</v>
      </c>
    </row>
    <row r="274" spans="1:37" ht="12.75">
      <c r="A274" s="42"/>
      <c r="B274" s="43"/>
      <c r="C274" s="43" t="s">
        <v>537</v>
      </c>
      <c r="D274" s="43" t="s">
        <v>538</v>
      </c>
      <c r="E274" s="42" t="s">
        <v>4</v>
      </c>
      <c r="F274" s="42" t="s">
        <v>4</v>
      </c>
      <c r="G274" s="42" t="s">
        <v>4</v>
      </c>
      <c r="H274" s="37">
        <f>SUM(H275:H279)</f>
        <v>0</v>
      </c>
      <c r="I274" s="37">
        <f>SUM(I275:I279)</f>
        <v>0</v>
      </c>
      <c r="J274" s="37">
        <f>H274+I274</f>
        <v>0</v>
      </c>
      <c r="K274" s="32"/>
      <c r="L274" s="37">
        <f>SUM(L275:L279)</f>
        <v>0.022968</v>
      </c>
      <c r="M274" s="32"/>
      <c r="Y274" s="32"/>
      <c r="AI274" s="37">
        <f>SUM(Z275:Z279)</f>
        <v>0</v>
      </c>
      <c r="AJ274" s="37">
        <f>SUM(AA275:AA279)</f>
        <v>0</v>
      </c>
      <c r="AK274" s="37">
        <f>SUM(AB275:AB279)</f>
        <v>0</v>
      </c>
    </row>
    <row r="275" spans="1:48" ht="12.75">
      <c r="A275" s="11" t="s">
        <v>520</v>
      </c>
      <c r="B275" s="11"/>
      <c r="C275" s="11" t="s">
        <v>539</v>
      </c>
      <c r="D275" s="11" t="s">
        <v>540</v>
      </c>
      <c r="E275" s="11" t="s">
        <v>114</v>
      </c>
      <c r="F275" s="38">
        <v>20.88</v>
      </c>
      <c r="G275" s="38">
        <v>0</v>
      </c>
      <c r="H275" s="38">
        <f>F275*AE275</f>
        <v>0</v>
      </c>
      <c r="I275" s="38">
        <f>J275-H275</f>
        <v>0</v>
      </c>
      <c r="J275" s="38">
        <f>F275*G275</f>
        <v>0</v>
      </c>
      <c r="K275" s="38">
        <v>0</v>
      </c>
      <c r="L275" s="38">
        <f>F275*K275</f>
        <v>0</v>
      </c>
      <c r="M275" s="39" t="s">
        <v>53</v>
      </c>
      <c r="P275" s="38">
        <f>IF(AG275="5",J275,0)</f>
        <v>0</v>
      </c>
      <c r="R275" s="38">
        <f>IF(AG275="1",H275,0)</f>
        <v>0</v>
      </c>
      <c r="S275" s="38">
        <f>IF(AG275="1",I275,0)</f>
        <v>0</v>
      </c>
      <c r="T275" s="38">
        <f>IF(AG275="7",H275,0)</f>
        <v>0</v>
      </c>
      <c r="U275" s="38">
        <f>IF(AG275="7",I275,0)</f>
        <v>0</v>
      </c>
      <c r="V275" s="38">
        <f>IF(AG275="2",H275,0)</f>
        <v>0</v>
      </c>
      <c r="W275" s="38">
        <f>IF(AG275="2",I275,0)</f>
        <v>0</v>
      </c>
      <c r="X275" s="38">
        <f>IF(AG275="0",J275,0)</f>
        <v>0</v>
      </c>
      <c r="Y275" s="32"/>
      <c r="Z275" s="38">
        <f>IF(AD275=0,J275,0)</f>
        <v>0</v>
      </c>
      <c r="AA275" s="38">
        <f>IF(AD275=15,J275,0)</f>
        <v>0</v>
      </c>
      <c r="AB275" s="38">
        <f>IF(AD275=21,J275,0)</f>
        <v>0</v>
      </c>
      <c r="AD275" s="38">
        <v>15</v>
      </c>
      <c r="AE275" s="38">
        <f>G275*0</f>
        <v>0</v>
      </c>
      <c r="AF275" s="38">
        <f>G275*(1-0)</f>
        <v>0</v>
      </c>
      <c r="AG275" s="39" t="s">
        <v>56</v>
      </c>
      <c r="AM275" s="38">
        <f>F275*AE275</f>
        <v>0</v>
      </c>
      <c r="AN275" s="38">
        <f>F275*AF275</f>
        <v>0</v>
      </c>
      <c r="AO275" s="39" t="s">
        <v>541</v>
      </c>
      <c r="AP275" s="39" t="s">
        <v>457</v>
      </c>
      <c r="AQ275" s="32" t="s">
        <v>55</v>
      </c>
      <c r="AS275" s="38">
        <f>AM275+AN275</f>
        <v>0</v>
      </c>
      <c r="AT275" s="38">
        <f>G275/(100-AU275)*100</f>
        <v>0</v>
      </c>
      <c r="AU275" s="38">
        <v>0</v>
      </c>
      <c r="AV275" s="38">
        <f>L275</f>
        <v>0</v>
      </c>
    </row>
    <row r="276" spans="4:6" ht="12.75">
      <c r="D276" s="40" t="s">
        <v>542</v>
      </c>
      <c r="F276" s="41">
        <v>20.88</v>
      </c>
    </row>
    <row r="277" spans="1:48" ht="12.75">
      <c r="A277" s="11" t="s">
        <v>543</v>
      </c>
      <c r="B277" s="11"/>
      <c r="C277" s="11" t="s">
        <v>544</v>
      </c>
      <c r="D277" s="11" t="s">
        <v>545</v>
      </c>
      <c r="E277" s="11" t="s">
        <v>114</v>
      </c>
      <c r="F277" s="38">
        <v>20.88</v>
      </c>
      <c r="G277" s="38">
        <v>0</v>
      </c>
      <c r="H277" s="38">
        <f>F277*AE277</f>
        <v>0</v>
      </c>
      <c r="I277" s="38">
        <f>J277-H277</f>
        <v>0</v>
      </c>
      <c r="J277" s="38">
        <f>F277*G277</f>
        <v>0</v>
      </c>
      <c r="K277" s="38">
        <v>0.0011</v>
      </c>
      <c r="L277" s="38">
        <f>F277*K277</f>
        <v>0.022968</v>
      </c>
      <c r="M277" s="39" t="s">
        <v>53</v>
      </c>
      <c r="P277" s="38">
        <f>IF(AG277="5",J277,0)</f>
        <v>0</v>
      </c>
      <c r="R277" s="38">
        <f>IF(AG277="1",H277,0)</f>
        <v>0</v>
      </c>
      <c r="S277" s="38">
        <f>IF(AG277="1",I277,0)</f>
        <v>0</v>
      </c>
      <c r="T277" s="38">
        <f>IF(AG277="7",H277,0)</f>
        <v>0</v>
      </c>
      <c r="U277" s="38">
        <f>IF(AG277="7",I277,0)</f>
        <v>0</v>
      </c>
      <c r="V277" s="38">
        <f>IF(AG277="2",H277,0)</f>
        <v>0</v>
      </c>
      <c r="W277" s="38">
        <f>IF(AG277="2",I277,0)</f>
        <v>0</v>
      </c>
      <c r="X277" s="38">
        <f>IF(AG277="0",J277,0)</f>
        <v>0</v>
      </c>
      <c r="Y277" s="32"/>
      <c r="Z277" s="38">
        <f>IF(AD277=0,J277,0)</f>
        <v>0</v>
      </c>
      <c r="AA277" s="38">
        <f>IF(AD277=15,J277,0)</f>
        <v>0</v>
      </c>
      <c r="AB277" s="38">
        <f>IF(AD277=21,J277,0)</f>
        <v>0</v>
      </c>
      <c r="AD277" s="38">
        <v>15</v>
      </c>
      <c r="AE277" s="38">
        <f>G277*0.163425925925926</f>
        <v>0</v>
      </c>
      <c r="AF277" s="38">
        <f>G277*(1-0.163425925925926)</f>
        <v>0</v>
      </c>
      <c r="AG277" s="39" t="s">
        <v>56</v>
      </c>
      <c r="AM277" s="38">
        <f>F277*AE277</f>
        <v>0</v>
      </c>
      <c r="AN277" s="38">
        <f>F277*AF277</f>
        <v>0</v>
      </c>
      <c r="AO277" s="39" t="s">
        <v>541</v>
      </c>
      <c r="AP277" s="39" t="s">
        <v>457</v>
      </c>
      <c r="AQ277" s="32" t="s">
        <v>55</v>
      </c>
      <c r="AS277" s="38">
        <f>AM277+AN277</f>
        <v>0</v>
      </c>
      <c r="AT277" s="38">
        <f>G277/(100-AU277)*100</f>
        <v>0</v>
      </c>
      <c r="AU277" s="38">
        <v>0</v>
      </c>
      <c r="AV277" s="38">
        <f>L277</f>
        <v>0.022968</v>
      </c>
    </row>
    <row r="278" spans="4:6" ht="12.75">
      <c r="D278" s="40" t="s">
        <v>546</v>
      </c>
      <c r="F278" s="41">
        <v>20.88</v>
      </c>
    </row>
    <row r="279" spans="1:48" ht="12.75">
      <c r="A279" s="11" t="s">
        <v>547</v>
      </c>
      <c r="B279" s="11"/>
      <c r="C279" s="11" t="s">
        <v>548</v>
      </c>
      <c r="D279" s="11" t="s">
        <v>549</v>
      </c>
      <c r="E279" s="11" t="s">
        <v>52</v>
      </c>
      <c r="F279" s="38">
        <v>1</v>
      </c>
      <c r="G279" s="38">
        <v>0</v>
      </c>
      <c r="H279" s="38">
        <f>F279*AE279</f>
        <v>0</v>
      </c>
      <c r="I279" s="38">
        <f>J279-H279</f>
        <v>0</v>
      </c>
      <c r="J279" s="38">
        <f>F279*G279</f>
        <v>0</v>
      </c>
      <c r="K279" s="38">
        <v>0</v>
      </c>
      <c r="L279" s="38">
        <f>F279*K279</f>
        <v>0</v>
      </c>
      <c r="M279" s="39" t="s">
        <v>53</v>
      </c>
      <c r="P279" s="38">
        <f>IF(AG279="5",J279,0)</f>
        <v>0</v>
      </c>
      <c r="R279" s="38">
        <f>IF(AG279="1",H279,0)</f>
        <v>0</v>
      </c>
      <c r="S279" s="38">
        <f>IF(AG279="1",I279,0)</f>
        <v>0</v>
      </c>
      <c r="T279" s="38">
        <f>IF(AG279="7",H279,0)</f>
        <v>0</v>
      </c>
      <c r="U279" s="38">
        <f>IF(AG279="7",I279,0)</f>
        <v>0</v>
      </c>
      <c r="V279" s="38">
        <f>IF(AG279="2",H279,0)</f>
        <v>0</v>
      </c>
      <c r="W279" s="38">
        <f>IF(AG279="2",I279,0)</f>
        <v>0</v>
      </c>
      <c r="X279" s="38">
        <f>IF(AG279="0",J279,0)</f>
        <v>0</v>
      </c>
      <c r="Y279" s="32"/>
      <c r="Z279" s="38">
        <f>IF(AD279=0,J279,0)</f>
        <v>0</v>
      </c>
      <c r="AA279" s="38">
        <f>IF(AD279=15,J279,0)</f>
        <v>0</v>
      </c>
      <c r="AB279" s="38">
        <f>IF(AD279=21,J279,0)</f>
        <v>0</v>
      </c>
      <c r="AD279" s="38">
        <v>15</v>
      </c>
      <c r="AE279" s="38">
        <f>G279*0</f>
        <v>0</v>
      </c>
      <c r="AF279" s="38">
        <f>G279*(1-0)</f>
        <v>0</v>
      </c>
      <c r="AG279" s="39" t="s">
        <v>56</v>
      </c>
      <c r="AM279" s="38">
        <f>F279*AE279</f>
        <v>0</v>
      </c>
      <c r="AN279" s="38">
        <f>F279*AF279</f>
        <v>0</v>
      </c>
      <c r="AO279" s="39" t="s">
        <v>541</v>
      </c>
      <c r="AP279" s="39" t="s">
        <v>457</v>
      </c>
      <c r="AQ279" s="32" t="s">
        <v>55</v>
      </c>
      <c r="AS279" s="38">
        <f>AM279+AN279</f>
        <v>0</v>
      </c>
      <c r="AT279" s="38">
        <f>G279/(100-AU279)*100</f>
        <v>0</v>
      </c>
      <c r="AU279" s="38">
        <v>0</v>
      </c>
      <c r="AV279" s="38">
        <f>L279</f>
        <v>0</v>
      </c>
    </row>
    <row r="280" spans="4:6" ht="12.75">
      <c r="D280" s="40" t="s">
        <v>49</v>
      </c>
      <c r="F280" s="41">
        <v>1</v>
      </c>
    </row>
    <row r="281" spans="1:37" ht="12.75">
      <c r="A281" s="42"/>
      <c r="B281" s="43"/>
      <c r="C281" s="43" t="s">
        <v>550</v>
      </c>
      <c r="D281" s="43" t="s">
        <v>551</v>
      </c>
      <c r="E281" s="42" t="s">
        <v>4</v>
      </c>
      <c r="F281" s="42" t="s">
        <v>4</v>
      </c>
      <c r="G281" s="42" t="s">
        <v>4</v>
      </c>
      <c r="H281" s="37">
        <f>SUM(H282:H294)</f>
        <v>0</v>
      </c>
      <c r="I281" s="37">
        <f>SUM(I282:I294)</f>
        <v>0</v>
      </c>
      <c r="J281" s="37">
        <f>H281+I281</f>
        <v>0</v>
      </c>
      <c r="K281" s="32"/>
      <c r="L281" s="37">
        <f>SUM(L282:L294)</f>
        <v>0</v>
      </c>
      <c r="M281" s="32"/>
      <c r="Y281" s="32"/>
      <c r="AI281" s="37">
        <f>SUM(Z282:Z294)</f>
        <v>0</v>
      </c>
      <c r="AJ281" s="37">
        <f>SUM(AA282:AA294)</f>
        <v>0</v>
      </c>
      <c r="AK281" s="37">
        <f>SUM(AB282:AB294)</f>
        <v>0</v>
      </c>
    </row>
    <row r="282" spans="1:48" ht="12.75">
      <c r="A282" s="11" t="s">
        <v>552</v>
      </c>
      <c r="B282" s="11"/>
      <c r="C282" s="11" t="s">
        <v>553</v>
      </c>
      <c r="D282" s="11" t="s">
        <v>554</v>
      </c>
      <c r="E282" s="11" t="s">
        <v>301</v>
      </c>
      <c r="F282" s="38">
        <v>16.61</v>
      </c>
      <c r="G282" s="38">
        <v>0</v>
      </c>
      <c r="H282" s="38">
        <f>F282*AE282</f>
        <v>0</v>
      </c>
      <c r="I282" s="38">
        <f>J282-H282</f>
        <v>0</v>
      </c>
      <c r="J282" s="38">
        <f>F282*G282</f>
        <v>0</v>
      </c>
      <c r="K282" s="38">
        <v>0</v>
      </c>
      <c r="L282" s="38">
        <f>F282*K282</f>
        <v>0</v>
      </c>
      <c r="M282" s="39" t="s">
        <v>555</v>
      </c>
      <c r="P282" s="38">
        <f>IF(AG282="5",J282,0)</f>
        <v>0</v>
      </c>
      <c r="R282" s="38">
        <f>IF(AG282="1",H282,0)</f>
        <v>0</v>
      </c>
      <c r="S282" s="38">
        <f>IF(AG282="1",I282,0)</f>
        <v>0</v>
      </c>
      <c r="T282" s="38">
        <f>IF(AG282="7",H282,0)</f>
        <v>0</v>
      </c>
      <c r="U282" s="38">
        <f>IF(AG282="7",I282,0)</f>
        <v>0</v>
      </c>
      <c r="V282" s="38">
        <f>IF(AG282="2",H282,0)</f>
        <v>0</v>
      </c>
      <c r="W282" s="38">
        <f>IF(AG282="2",I282,0)</f>
        <v>0</v>
      </c>
      <c r="X282" s="38">
        <f>IF(AG282="0",J282,0)</f>
        <v>0</v>
      </c>
      <c r="Y282" s="32"/>
      <c r="Z282" s="38">
        <f>IF(AD282=0,J282,0)</f>
        <v>0</v>
      </c>
      <c r="AA282" s="38">
        <f>IF(AD282=15,J282,0)</f>
        <v>0</v>
      </c>
      <c r="AB282" s="38">
        <f>IF(AD282=21,J282,0)</f>
        <v>0</v>
      </c>
      <c r="AD282" s="38">
        <v>15</v>
      </c>
      <c r="AE282" s="38">
        <f>G282*0</f>
        <v>0</v>
      </c>
      <c r="AF282" s="38">
        <f>G282*(1-0)</f>
        <v>0</v>
      </c>
      <c r="AG282" s="39" t="s">
        <v>71</v>
      </c>
      <c r="AM282" s="38">
        <f>F282*AE282</f>
        <v>0</v>
      </c>
      <c r="AN282" s="38">
        <f>F282*AF282</f>
        <v>0</v>
      </c>
      <c r="AO282" s="39" t="s">
        <v>556</v>
      </c>
      <c r="AP282" s="39" t="s">
        <v>457</v>
      </c>
      <c r="AQ282" s="32" t="s">
        <v>55</v>
      </c>
      <c r="AS282" s="38">
        <f>AM282+AN282</f>
        <v>0</v>
      </c>
      <c r="AT282" s="38">
        <f>G282/(100-AU282)*100</f>
        <v>0</v>
      </c>
      <c r="AU282" s="38">
        <v>0</v>
      </c>
      <c r="AV282" s="38">
        <f>L282</f>
        <v>0</v>
      </c>
    </row>
    <row r="283" spans="4:6" ht="12.75">
      <c r="D283" s="40" t="s">
        <v>557</v>
      </c>
      <c r="F283" s="41">
        <v>16.61</v>
      </c>
    </row>
    <row r="284" spans="1:48" ht="12.75">
      <c r="A284" s="11" t="s">
        <v>558</v>
      </c>
      <c r="B284" s="11"/>
      <c r="C284" s="11" t="s">
        <v>559</v>
      </c>
      <c r="D284" s="11" t="s">
        <v>560</v>
      </c>
      <c r="E284" s="11" t="s">
        <v>301</v>
      </c>
      <c r="F284" s="38">
        <v>16.61</v>
      </c>
      <c r="G284" s="38">
        <v>0</v>
      </c>
      <c r="H284" s="38">
        <f>F284*AE284</f>
        <v>0</v>
      </c>
      <c r="I284" s="38">
        <f>J284-H284</f>
        <v>0</v>
      </c>
      <c r="J284" s="38">
        <f>F284*G284</f>
        <v>0</v>
      </c>
      <c r="K284" s="38">
        <v>0</v>
      </c>
      <c r="L284" s="38">
        <f>F284*K284</f>
        <v>0</v>
      </c>
      <c r="M284" s="39" t="s">
        <v>53</v>
      </c>
      <c r="P284" s="38">
        <f>IF(AG284="5",J284,0)</f>
        <v>0</v>
      </c>
      <c r="R284" s="38">
        <f>IF(AG284="1",H284,0)</f>
        <v>0</v>
      </c>
      <c r="S284" s="38">
        <f>IF(AG284="1",I284,0)</f>
        <v>0</v>
      </c>
      <c r="T284" s="38">
        <f>IF(AG284="7",H284,0)</f>
        <v>0</v>
      </c>
      <c r="U284" s="38">
        <f>IF(AG284="7",I284,0)</f>
        <v>0</v>
      </c>
      <c r="V284" s="38">
        <f>IF(AG284="2",H284,0)</f>
        <v>0</v>
      </c>
      <c r="W284" s="38">
        <f>IF(AG284="2",I284,0)</f>
        <v>0</v>
      </c>
      <c r="X284" s="38">
        <f>IF(AG284="0",J284,0)</f>
        <v>0</v>
      </c>
      <c r="Y284" s="32"/>
      <c r="Z284" s="38">
        <f>IF(AD284=0,J284,0)</f>
        <v>0</v>
      </c>
      <c r="AA284" s="38">
        <f>IF(AD284=15,J284,0)</f>
        <v>0</v>
      </c>
      <c r="AB284" s="38">
        <f>IF(AD284=21,J284,0)</f>
        <v>0</v>
      </c>
      <c r="AD284" s="38">
        <v>15</v>
      </c>
      <c r="AE284" s="38">
        <f>G284*0</f>
        <v>0</v>
      </c>
      <c r="AF284" s="38">
        <f>G284*(1-0)</f>
        <v>0</v>
      </c>
      <c r="AG284" s="39" t="s">
        <v>71</v>
      </c>
      <c r="AM284" s="38">
        <f>F284*AE284</f>
        <v>0</v>
      </c>
      <c r="AN284" s="38">
        <f>F284*AF284</f>
        <v>0</v>
      </c>
      <c r="AO284" s="39" t="s">
        <v>556</v>
      </c>
      <c r="AP284" s="39" t="s">
        <v>457</v>
      </c>
      <c r="AQ284" s="32" t="s">
        <v>55</v>
      </c>
      <c r="AS284" s="38">
        <f>AM284+AN284</f>
        <v>0</v>
      </c>
      <c r="AT284" s="38">
        <f>G284/(100-AU284)*100</f>
        <v>0</v>
      </c>
      <c r="AU284" s="38">
        <v>0</v>
      </c>
      <c r="AV284" s="38">
        <f>L284</f>
        <v>0</v>
      </c>
    </row>
    <row r="285" spans="4:6" ht="12.75">
      <c r="D285" s="40" t="s">
        <v>561</v>
      </c>
      <c r="F285" s="41">
        <v>16.61</v>
      </c>
    </row>
    <row r="286" spans="1:48" ht="12.75">
      <c r="A286" s="11" t="s">
        <v>562</v>
      </c>
      <c r="B286" s="11"/>
      <c r="C286" s="11" t="s">
        <v>563</v>
      </c>
      <c r="D286" s="11" t="s">
        <v>564</v>
      </c>
      <c r="E286" s="11" t="s">
        <v>301</v>
      </c>
      <c r="F286" s="38">
        <v>66.44</v>
      </c>
      <c r="G286" s="38">
        <v>0</v>
      </c>
      <c r="H286" s="38">
        <f>F286*AE286</f>
        <v>0</v>
      </c>
      <c r="I286" s="38">
        <f>J286-H286</f>
        <v>0</v>
      </c>
      <c r="J286" s="38">
        <f>F286*G286</f>
        <v>0</v>
      </c>
      <c r="K286" s="38">
        <v>0</v>
      </c>
      <c r="L286" s="38">
        <f>F286*K286</f>
        <v>0</v>
      </c>
      <c r="M286" s="39" t="s">
        <v>53</v>
      </c>
      <c r="P286" s="38">
        <f>IF(AG286="5",J286,0)</f>
        <v>0</v>
      </c>
      <c r="R286" s="38">
        <f>IF(AG286="1",H286,0)</f>
        <v>0</v>
      </c>
      <c r="S286" s="38">
        <f>IF(AG286="1",I286,0)</f>
        <v>0</v>
      </c>
      <c r="T286" s="38">
        <f>IF(AG286="7",H286,0)</f>
        <v>0</v>
      </c>
      <c r="U286" s="38">
        <f>IF(AG286="7",I286,0)</f>
        <v>0</v>
      </c>
      <c r="V286" s="38">
        <f>IF(AG286="2",H286,0)</f>
        <v>0</v>
      </c>
      <c r="W286" s="38">
        <f>IF(AG286="2",I286,0)</f>
        <v>0</v>
      </c>
      <c r="X286" s="38">
        <f>IF(AG286="0",J286,0)</f>
        <v>0</v>
      </c>
      <c r="Y286" s="32"/>
      <c r="Z286" s="38">
        <f>IF(AD286=0,J286,0)</f>
        <v>0</v>
      </c>
      <c r="AA286" s="38">
        <f>IF(AD286=15,J286,0)</f>
        <v>0</v>
      </c>
      <c r="AB286" s="38">
        <f>IF(AD286=21,J286,0)</f>
        <v>0</v>
      </c>
      <c r="AD286" s="38">
        <v>15</v>
      </c>
      <c r="AE286" s="38">
        <f>G286*0</f>
        <v>0</v>
      </c>
      <c r="AF286" s="38">
        <f>G286*(1-0)</f>
        <v>0</v>
      </c>
      <c r="AG286" s="39" t="s">
        <v>71</v>
      </c>
      <c r="AM286" s="38">
        <f>F286*AE286</f>
        <v>0</v>
      </c>
      <c r="AN286" s="38">
        <f>F286*AF286</f>
        <v>0</v>
      </c>
      <c r="AO286" s="39" t="s">
        <v>556</v>
      </c>
      <c r="AP286" s="39" t="s">
        <v>457</v>
      </c>
      <c r="AQ286" s="32" t="s">
        <v>55</v>
      </c>
      <c r="AS286" s="38">
        <f>AM286+AN286</f>
        <v>0</v>
      </c>
      <c r="AT286" s="38">
        <f>G286/(100-AU286)*100</f>
        <v>0</v>
      </c>
      <c r="AU286" s="38">
        <v>0</v>
      </c>
      <c r="AV286" s="38">
        <f>L286</f>
        <v>0</v>
      </c>
    </row>
    <row r="287" spans="4:6" ht="12.75">
      <c r="D287" s="40" t="s">
        <v>565</v>
      </c>
      <c r="F287" s="41">
        <v>66.44</v>
      </c>
    </row>
    <row r="288" spans="1:48" ht="12.75">
      <c r="A288" s="11" t="s">
        <v>566</v>
      </c>
      <c r="B288" s="11"/>
      <c r="C288" s="11" t="s">
        <v>567</v>
      </c>
      <c r="D288" s="11" t="s">
        <v>568</v>
      </c>
      <c r="E288" s="11" t="s">
        <v>301</v>
      </c>
      <c r="F288" s="38">
        <v>16.61</v>
      </c>
      <c r="G288" s="38">
        <v>0</v>
      </c>
      <c r="H288" s="38">
        <f>F288*AE288</f>
        <v>0</v>
      </c>
      <c r="I288" s="38">
        <f>J288-H288</f>
        <v>0</v>
      </c>
      <c r="J288" s="38">
        <f>F288*G288</f>
        <v>0</v>
      </c>
      <c r="K288" s="38">
        <v>0</v>
      </c>
      <c r="L288" s="38">
        <f>F288*K288</f>
        <v>0</v>
      </c>
      <c r="M288" s="39" t="s">
        <v>53</v>
      </c>
      <c r="P288" s="38">
        <f>IF(AG288="5",J288,0)</f>
        <v>0</v>
      </c>
      <c r="R288" s="38">
        <f>IF(AG288="1",H288,0)</f>
        <v>0</v>
      </c>
      <c r="S288" s="38">
        <f>IF(AG288="1",I288,0)</f>
        <v>0</v>
      </c>
      <c r="T288" s="38">
        <f>IF(AG288="7",H288,0)</f>
        <v>0</v>
      </c>
      <c r="U288" s="38">
        <f>IF(AG288="7",I288,0)</f>
        <v>0</v>
      </c>
      <c r="V288" s="38">
        <f>IF(AG288="2",H288,0)</f>
        <v>0</v>
      </c>
      <c r="W288" s="38">
        <f>IF(AG288="2",I288,0)</f>
        <v>0</v>
      </c>
      <c r="X288" s="38">
        <f>IF(AG288="0",J288,0)</f>
        <v>0</v>
      </c>
      <c r="Y288" s="32"/>
      <c r="Z288" s="38">
        <f>IF(AD288=0,J288,0)</f>
        <v>0</v>
      </c>
      <c r="AA288" s="38">
        <f>IF(AD288=15,J288,0)</f>
        <v>0</v>
      </c>
      <c r="AB288" s="38">
        <f>IF(AD288=21,J288,0)</f>
        <v>0</v>
      </c>
      <c r="AD288" s="38">
        <v>15</v>
      </c>
      <c r="AE288" s="38">
        <f>G288*0.00934994332731623</f>
        <v>0</v>
      </c>
      <c r="AF288" s="38">
        <f>G288*(1-0.00934994332731623)</f>
        <v>0</v>
      </c>
      <c r="AG288" s="39" t="s">
        <v>71</v>
      </c>
      <c r="AM288" s="38">
        <f>F288*AE288</f>
        <v>0</v>
      </c>
      <c r="AN288" s="38">
        <f>F288*AF288</f>
        <v>0</v>
      </c>
      <c r="AO288" s="39" t="s">
        <v>556</v>
      </c>
      <c r="AP288" s="39" t="s">
        <v>457</v>
      </c>
      <c r="AQ288" s="32" t="s">
        <v>55</v>
      </c>
      <c r="AS288" s="38">
        <f>AM288+AN288</f>
        <v>0</v>
      </c>
      <c r="AT288" s="38">
        <f>G288/(100-AU288)*100</f>
        <v>0</v>
      </c>
      <c r="AU288" s="38">
        <v>0</v>
      </c>
      <c r="AV288" s="38">
        <f>L288</f>
        <v>0</v>
      </c>
    </row>
    <row r="289" spans="4:6" ht="12.75">
      <c r="D289" s="40" t="s">
        <v>561</v>
      </c>
      <c r="F289" s="41">
        <v>16.61</v>
      </c>
    </row>
    <row r="290" spans="1:48" ht="12.75">
      <c r="A290" s="11" t="s">
        <v>569</v>
      </c>
      <c r="B290" s="11"/>
      <c r="C290" s="11" t="s">
        <v>570</v>
      </c>
      <c r="D290" s="11" t="s">
        <v>571</v>
      </c>
      <c r="E290" s="11" t="s">
        <v>301</v>
      </c>
      <c r="F290" s="38">
        <v>697.62</v>
      </c>
      <c r="G290" s="38">
        <v>0</v>
      </c>
      <c r="H290" s="38">
        <f>F290*AE290</f>
        <v>0</v>
      </c>
      <c r="I290" s="38">
        <f>J290-H290</f>
        <v>0</v>
      </c>
      <c r="J290" s="38">
        <f>F290*G290</f>
        <v>0</v>
      </c>
      <c r="K290" s="38">
        <v>0</v>
      </c>
      <c r="L290" s="38">
        <f>F290*K290</f>
        <v>0</v>
      </c>
      <c r="M290" s="39" t="s">
        <v>53</v>
      </c>
      <c r="P290" s="38">
        <f>IF(AG290="5",J290,0)</f>
        <v>0</v>
      </c>
      <c r="R290" s="38">
        <f>IF(AG290="1",H290,0)</f>
        <v>0</v>
      </c>
      <c r="S290" s="38">
        <f>IF(AG290="1",I290,0)</f>
        <v>0</v>
      </c>
      <c r="T290" s="38">
        <f>IF(AG290="7",H290,0)</f>
        <v>0</v>
      </c>
      <c r="U290" s="38">
        <f>IF(AG290="7",I290,0)</f>
        <v>0</v>
      </c>
      <c r="V290" s="38">
        <f>IF(AG290="2",H290,0)</f>
        <v>0</v>
      </c>
      <c r="W290" s="38">
        <f>IF(AG290="2",I290,0)</f>
        <v>0</v>
      </c>
      <c r="X290" s="38">
        <f>IF(AG290="0",J290,0)</f>
        <v>0</v>
      </c>
      <c r="Y290" s="32"/>
      <c r="Z290" s="38">
        <f>IF(AD290=0,J290,0)</f>
        <v>0</v>
      </c>
      <c r="AA290" s="38">
        <f>IF(AD290=15,J290,0)</f>
        <v>0</v>
      </c>
      <c r="AB290" s="38">
        <f>IF(AD290=21,J290,0)</f>
        <v>0</v>
      </c>
      <c r="AD290" s="38">
        <v>15</v>
      </c>
      <c r="AE290" s="38">
        <f>G290*0</f>
        <v>0</v>
      </c>
      <c r="AF290" s="38">
        <f>G290*(1-0)</f>
        <v>0</v>
      </c>
      <c r="AG290" s="39" t="s">
        <v>71</v>
      </c>
      <c r="AM290" s="38">
        <f>F290*AE290</f>
        <v>0</v>
      </c>
      <c r="AN290" s="38">
        <f>F290*AF290</f>
        <v>0</v>
      </c>
      <c r="AO290" s="39" t="s">
        <v>556</v>
      </c>
      <c r="AP290" s="39" t="s">
        <v>457</v>
      </c>
      <c r="AQ290" s="32" t="s">
        <v>55</v>
      </c>
      <c r="AS290" s="38">
        <f>AM290+AN290</f>
        <v>0</v>
      </c>
      <c r="AT290" s="38">
        <f>G290/(100-AU290)*100</f>
        <v>0</v>
      </c>
      <c r="AU290" s="38">
        <v>0</v>
      </c>
      <c r="AV290" s="38">
        <f>L290</f>
        <v>0</v>
      </c>
    </row>
    <row r="291" spans="4:6" ht="12.75">
      <c r="D291" s="40" t="s">
        <v>572</v>
      </c>
      <c r="F291" s="41">
        <v>697.62</v>
      </c>
    </row>
    <row r="292" spans="1:48" ht="12.75">
      <c r="A292" s="11" t="s">
        <v>573</v>
      </c>
      <c r="B292" s="11"/>
      <c r="C292" s="11" t="s">
        <v>574</v>
      </c>
      <c r="D292" s="11" t="s">
        <v>575</v>
      </c>
      <c r="E292" s="11" t="s">
        <v>301</v>
      </c>
      <c r="F292" s="38">
        <v>16.61</v>
      </c>
      <c r="G292" s="38">
        <v>0</v>
      </c>
      <c r="H292" s="38">
        <f>F292*AE292</f>
        <v>0</v>
      </c>
      <c r="I292" s="38">
        <f>J292-H292</f>
        <v>0</v>
      </c>
      <c r="J292" s="38">
        <f>F292*G292</f>
        <v>0</v>
      </c>
      <c r="K292" s="38">
        <v>0</v>
      </c>
      <c r="L292" s="38">
        <f>F292*K292</f>
        <v>0</v>
      </c>
      <c r="M292" s="39" t="s">
        <v>53</v>
      </c>
      <c r="P292" s="38">
        <f>IF(AG292="5",J292,0)</f>
        <v>0</v>
      </c>
      <c r="R292" s="38">
        <f>IF(AG292="1",H292,0)</f>
        <v>0</v>
      </c>
      <c r="S292" s="38">
        <f>IF(AG292="1",I292,0)</f>
        <v>0</v>
      </c>
      <c r="T292" s="38">
        <f>IF(AG292="7",H292,0)</f>
        <v>0</v>
      </c>
      <c r="U292" s="38">
        <f>IF(AG292="7",I292,0)</f>
        <v>0</v>
      </c>
      <c r="V292" s="38">
        <f>IF(AG292="2",H292,0)</f>
        <v>0</v>
      </c>
      <c r="W292" s="38">
        <f>IF(AG292="2",I292,0)</f>
        <v>0</v>
      </c>
      <c r="X292" s="38">
        <f>IF(AG292="0",J292,0)</f>
        <v>0</v>
      </c>
      <c r="Y292" s="32"/>
      <c r="Z292" s="38">
        <f>IF(AD292=0,J292,0)</f>
        <v>0</v>
      </c>
      <c r="AA292" s="38">
        <f>IF(AD292=15,J292,0)</f>
        <v>0</v>
      </c>
      <c r="AB292" s="38">
        <f>IF(AD292=21,J292,0)</f>
        <v>0</v>
      </c>
      <c r="AD292" s="38">
        <v>15</v>
      </c>
      <c r="AE292" s="38">
        <f>G292*0</f>
        <v>0</v>
      </c>
      <c r="AF292" s="38">
        <f>G292*(1-0)</f>
        <v>0</v>
      </c>
      <c r="AG292" s="39" t="s">
        <v>71</v>
      </c>
      <c r="AM292" s="38">
        <f>F292*AE292</f>
        <v>0</v>
      </c>
      <c r="AN292" s="38">
        <f>F292*AF292</f>
        <v>0</v>
      </c>
      <c r="AO292" s="39" t="s">
        <v>556</v>
      </c>
      <c r="AP292" s="39" t="s">
        <v>457</v>
      </c>
      <c r="AQ292" s="32" t="s">
        <v>55</v>
      </c>
      <c r="AS292" s="38">
        <f>AM292+AN292</f>
        <v>0</v>
      </c>
      <c r="AT292" s="38">
        <f>G292/(100-AU292)*100</f>
        <v>0</v>
      </c>
      <c r="AU292" s="38">
        <v>0</v>
      </c>
      <c r="AV292" s="38">
        <f>L292</f>
        <v>0</v>
      </c>
    </row>
    <row r="293" spans="4:6" ht="12.75">
      <c r="D293" s="40" t="s">
        <v>561</v>
      </c>
      <c r="F293" s="41">
        <v>16.61</v>
      </c>
    </row>
    <row r="294" spans="1:48" ht="12.75">
      <c r="A294" s="11" t="s">
        <v>576</v>
      </c>
      <c r="B294" s="11"/>
      <c r="C294" s="11" t="s">
        <v>577</v>
      </c>
      <c r="D294" s="11" t="s">
        <v>578</v>
      </c>
      <c r="E294" s="11" t="s">
        <v>301</v>
      </c>
      <c r="F294" s="38">
        <v>16.61</v>
      </c>
      <c r="G294" s="38">
        <v>0</v>
      </c>
      <c r="H294" s="38">
        <f>F294*AE294</f>
        <v>0</v>
      </c>
      <c r="I294" s="38">
        <f>J294-H294</f>
        <v>0</v>
      </c>
      <c r="J294" s="38">
        <f>F294*G294</f>
        <v>0</v>
      </c>
      <c r="K294" s="38">
        <v>0</v>
      </c>
      <c r="L294" s="38">
        <f>F294*K294</f>
        <v>0</v>
      </c>
      <c r="M294" s="39" t="s">
        <v>53</v>
      </c>
      <c r="P294" s="38">
        <f>IF(AG294="5",J294,0)</f>
        <v>0</v>
      </c>
      <c r="R294" s="38">
        <f>IF(AG294="1",H294,0)</f>
        <v>0</v>
      </c>
      <c r="S294" s="38">
        <f>IF(AG294="1",I294,0)</f>
        <v>0</v>
      </c>
      <c r="T294" s="38">
        <f>IF(AG294="7",H294,0)</f>
        <v>0</v>
      </c>
      <c r="U294" s="38">
        <f>IF(AG294="7",I294,0)</f>
        <v>0</v>
      </c>
      <c r="V294" s="38">
        <f>IF(AG294="2",H294,0)</f>
        <v>0</v>
      </c>
      <c r="W294" s="38">
        <f>IF(AG294="2",I294,0)</f>
        <v>0</v>
      </c>
      <c r="X294" s="38">
        <f>IF(AG294="0",J294,0)</f>
        <v>0</v>
      </c>
      <c r="Y294" s="32"/>
      <c r="Z294" s="38">
        <f>IF(AD294=0,J294,0)</f>
        <v>0</v>
      </c>
      <c r="AA294" s="38">
        <f>IF(AD294=15,J294,0)</f>
        <v>0</v>
      </c>
      <c r="AB294" s="38">
        <f>IF(AD294=21,J294,0)</f>
        <v>0</v>
      </c>
      <c r="AD294" s="38">
        <v>15</v>
      </c>
      <c r="AE294" s="38">
        <f>G294*0</f>
        <v>0</v>
      </c>
      <c r="AF294" s="38">
        <f>G294*(1-0)</f>
        <v>0</v>
      </c>
      <c r="AG294" s="39" t="s">
        <v>71</v>
      </c>
      <c r="AM294" s="38">
        <f>F294*AE294</f>
        <v>0</v>
      </c>
      <c r="AN294" s="38">
        <f>F294*AF294</f>
        <v>0</v>
      </c>
      <c r="AO294" s="39" t="s">
        <v>556</v>
      </c>
      <c r="AP294" s="39" t="s">
        <v>457</v>
      </c>
      <c r="AQ294" s="32" t="s">
        <v>55</v>
      </c>
      <c r="AS294" s="38">
        <f>AM294+AN294</f>
        <v>0</v>
      </c>
      <c r="AT294" s="38">
        <f>G294/(100-AU294)*100</f>
        <v>0</v>
      </c>
      <c r="AU294" s="38">
        <v>0</v>
      </c>
      <c r="AV294" s="38">
        <f>L294</f>
        <v>0</v>
      </c>
    </row>
    <row r="295" spans="1:13" ht="12.75">
      <c r="A295" s="46"/>
      <c r="B295" s="46"/>
      <c r="C295" s="46"/>
      <c r="D295" s="47" t="s">
        <v>561</v>
      </c>
      <c r="E295" s="46"/>
      <c r="F295" s="48">
        <v>16.61</v>
      </c>
      <c r="G295" s="46"/>
      <c r="H295" s="46"/>
      <c r="I295" s="46"/>
      <c r="J295" s="46"/>
      <c r="K295" s="46"/>
      <c r="L295" s="46"/>
      <c r="M295" s="46"/>
    </row>
    <row r="296" spans="1:13" ht="12.75">
      <c r="A296" s="49"/>
      <c r="B296" s="49"/>
      <c r="C296" s="49"/>
      <c r="D296" s="49"/>
      <c r="E296" s="49"/>
      <c r="F296" s="49"/>
      <c r="G296" s="49"/>
      <c r="H296" s="50" t="s">
        <v>579</v>
      </c>
      <c r="I296" s="50"/>
      <c r="J296" s="51">
        <f>ROUND(J12+J19+J22+J25+J30+J35+J38+J41+J109+J117+J126+J153+J168+J171+J176+J196+J217+J222+J227+J230+J247+J250+J264+J271+J274+J281,0)</f>
        <v>0</v>
      </c>
      <c r="K296" s="49"/>
      <c r="L296" s="49"/>
      <c r="M296" s="49"/>
    </row>
    <row r="297" ht="11.25" customHeight="1">
      <c r="A297" s="52" t="s">
        <v>580</v>
      </c>
    </row>
    <row r="65536" ht="12.75"/>
  </sheetData>
  <sheetProtection selectLockedCells="1" selectUnlockedCells="1"/>
  <mergeCells count="28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296:I296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95" zoomScaleNormal="95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11.57421875" style="1" hidden="1" customWidth="1"/>
    <col min="10" max="16384" width="11.57421875" style="1" customWidth="1"/>
  </cols>
  <sheetData>
    <row r="1" spans="1:7" ht="72.75" customHeight="1">
      <c r="A1" s="2" t="s">
        <v>581</v>
      </c>
      <c r="B1" s="2"/>
      <c r="C1" s="2"/>
      <c r="D1" s="2"/>
      <c r="E1" s="2"/>
      <c r="F1" s="2"/>
      <c r="G1" s="2"/>
    </row>
    <row r="2" spans="1:8" ht="12.75" customHeight="1">
      <c r="A2" s="3" t="s">
        <v>1</v>
      </c>
      <c r="B2" s="4">
        <f>'Stavební rozpočet'!D2</f>
        <v>0</v>
      </c>
      <c r="C2" s="4"/>
      <c r="D2" s="6" t="s">
        <v>5</v>
      </c>
      <c r="E2" s="7">
        <f>'Stavební rozpočet'!J2</f>
        <v>0</v>
      </c>
      <c r="F2" s="7"/>
      <c r="G2" s="7"/>
      <c r="H2" s="8"/>
    </row>
    <row r="3" spans="1:8" ht="12.75">
      <c r="A3" s="3"/>
      <c r="B3" s="4"/>
      <c r="C3" s="4"/>
      <c r="D3" s="6"/>
      <c r="E3" s="6"/>
      <c r="F3" s="7"/>
      <c r="G3" s="7"/>
      <c r="H3" s="8"/>
    </row>
    <row r="4" spans="1:8" ht="12.75" customHeight="1">
      <c r="A4" s="9" t="s">
        <v>7</v>
      </c>
      <c r="B4" s="10">
        <f>'Stavební rozpočet'!D4</f>
        <v>0</v>
      </c>
      <c r="C4" s="10"/>
      <c r="D4" s="10" t="s">
        <v>10</v>
      </c>
      <c r="E4" s="12">
        <f>'Stavební rozpočet'!J4</f>
        <v>0</v>
      </c>
      <c r="F4" s="12"/>
      <c r="G4" s="12"/>
      <c r="H4" s="8"/>
    </row>
    <row r="5" spans="1:8" ht="12.75">
      <c r="A5" s="9"/>
      <c r="B5" s="10"/>
      <c r="C5" s="10"/>
      <c r="D5" s="10"/>
      <c r="E5" s="10"/>
      <c r="F5" s="12"/>
      <c r="G5" s="12"/>
      <c r="H5" s="8"/>
    </row>
    <row r="6" spans="1:8" ht="12.75" customHeight="1">
      <c r="A6" s="9" t="s">
        <v>12</v>
      </c>
      <c r="B6" s="10">
        <f>'Stavební rozpočet'!D6</f>
        <v>0</v>
      </c>
      <c r="C6" s="10"/>
      <c r="D6" s="10" t="s">
        <v>15</v>
      </c>
      <c r="E6" s="12">
        <f>'Stavební rozpočet'!J6</f>
        <v>0</v>
      </c>
      <c r="F6" s="12"/>
      <c r="G6" s="12"/>
      <c r="H6" s="8"/>
    </row>
    <row r="7" spans="1:8" ht="12.75">
      <c r="A7" s="9"/>
      <c r="B7" s="10"/>
      <c r="C7" s="10"/>
      <c r="D7" s="10"/>
      <c r="E7" s="10"/>
      <c r="F7" s="12"/>
      <c r="G7" s="12"/>
      <c r="H7" s="8"/>
    </row>
    <row r="8" spans="1:8" ht="12.75" customHeight="1">
      <c r="A8" s="13" t="s">
        <v>20</v>
      </c>
      <c r="B8" s="14">
        <f>'Stavební rozpočet'!J8</f>
        <v>0</v>
      </c>
      <c r="C8" s="14"/>
      <c r="D8" s="15" t="s">
        <v>18</v>
      </c>
      <c r="E8" s="16">
        <f>'Stavební rozpočet'!G8</f>
        <v>0</v>
      </c>
      <c r="F8" s="16"/>
      <c r="G8" s="16"/>
      <c r="H8" s="8"/>
    </row>
    <row r="9" spans="1:8" ht="12.75">
      <c r="A9" s="13"/>
      <c r="B9" s="14"/>
      <c r="C9" s="14"/>
      <c r="D9" s="15"/>
      <c r="E9" s="15"/>
      <c r="F9" s="16"/>
      <c r="G9" s="16"/>
      <c r="H9" s="8"/>
    </row>
    <row r="10" spans="1:8" ht="12.75">
      <c r="A10" s="53" t="s">
        <v>23</v>
      </c>
      <c r="B10" s="54" t="s">
        <v>24</v>
      </c>
      <c r="C10" s="55" t="s">
        <v>25</v>
      </c>
      <c r="D10" s="56" t="s">
        <v>582</v>
      </c>
      <c r="E10" s="56" t="s">
        <v>583</v>
      </c>
      <c r="F10" s="56" t="s">
        <v>584</v>
      </c>
      <c r="G10" s="57" t="s">
        <v>585</v>
      </c>
      <c r="H10" s="23"/>
    </row>
    <row r="11" spans="1:9" ht="12.75">
      <c r="A11" s="58"/>
      <c r="B11" s="58" t="s">
        <v>47</v>
      </c>
      <c r="C11" s="58" t="s">
        <v>48</v>
      </c>
      <c r="D11" s="59">
        <f>'Stavební rozpočet'!H12</f>
        <v>0</v>
      </c>
      <c r="E11" s="59">
        <f>'Stavební rozpočet'!I12</f>
        <v>0</v>
      </c>
      <c r="F11" s="59">
        <f aca="true" t="shared" si="0" ref="F11:F36">D11+E11</f>
        <v>0</v>
      </c>
      <c r="G11" s="59">
        <f>'Stavební rozpočet'!L12</f>
        <v>0</v>
      </c>
      <c r="H11" s="38" t="s">
        <v>586</v>
      </c>
      <c r="I11" s="38">
        <f aca="true" t="shared" si="1" ref="I11:I36">IF(H11="F",0,F11)</f>
        <v>0</v>
      </c>
    </row>
    <row r="12" spans="1:9" ht="12.75">
      <c r="A12" s="11"/>
      <c r="B12" s="11" t="s">
        <v>60</v>
      </c>
      <c r="C12" s="11" t="s">
        <v>61</v>
      </c>
      <c r="D12" s="38">
        <f>'Stavební rozpočet'!H19</f>
        <v>0</v>
      </c>
      <c r="E12" s="38">
        <f>'Stavební rozpočet'!I19</f>
        <v>0</v>
      </c>
      <c r="F12" s="38">
        <f t="shared" si="0"/>
        <v>0</v>
      </c>
      <c r="G12" s="38">
        <f>'Stavební rozpočet'!L19</f>
        <v>0</v>
      </c>
      <c r="H12" s="38" t="s">
        <v>586</v>
      </c>
      <c r="I12" s="38">
        <f t="shared" si="1"/>
        <v>0</v>
      </c>
    </row>
    <row r="13" spans="1:9" ht="12.75">
      <c r="A13" s="11"/>
      <c r="B13" s="11" t="s">
        <v>69</v>
      </c>
      <c r="C13" s="11" t="s">
        <v>70</v>
      </c>
      <c r="D13" s="38">
        <f>'Stavební rozpočet'!H22</f>
        <v>0</v>
      </c>
      <c r="E13" s="38">
        <f>'Stavební rozpočet'!I22</f>
        <v>0</v>
      </c>
      <c r="F13" s="38">
        <f t="shared" si="0"/>
        <v>0</v>
      </c>
      <c r="G13" s="38">
        <f>'Stavební rozpočet'!L22</f>
        <v>0</v>
      </c>
      <c r="H13" s="38" t="s">
        <v>586</v>
      </c>
      <c r="I13" s="38">
        <f t="shared" si="1"/>
        <v>0</v>
      </c>
    </row>
    <row r="14" spans="1:9" ht="12.75">
      <c r="A14" s="11"/>
      <c r="B14" s="11" t="s">
        <v>76</v>
      </c>
      <c r="C14" s="11" t="s">
        <v>77</v>
      </c>
      <c r="D14" s="38">
        <f>'Stavební rozpočet'!H25</f>
        <v>0</v>
      </c>
      <c r="E14" s="38">
        <f>'Stavební rozpočet'!I25</f>
        <v>0</v>
      </c>
      <c r="F14" s="38">
        <f t="shared" si="0"/>
        <v>0</v>
      </c>
      <c r="G14" s="38">
        <f>'Stavební rozpočet'!L25</f>
        <v>0</v>
      </c>
      <c r="H14" s="38" t="s">
        <v>586</v>
      </c>
      <c r="I14" s="38">
        <f t="shared" si="1"/>
        <v>0</v>
      </c>
    </row>
    <row r="15" spans="1:9" ht="12.75">
      <c r="A15" s="11"/>
      <c r="B15" s="11" t="s">
        <v>88</v>
      </c>
      <c r="C15" s="11" t="s">
        <v>89</v>
      </c>
      <c r="D15" s="38">
        <f>'Stavební rozpočet'!H30</f>
        <v>0</v>
      </c>
      <c r="E15" s="38">
        <f>'Stavební rozpočet'!I30</f>
        <v>0</v>
      </c>
      <c r="F15" s="38">
        <f t="shared" si="0"/>
        <v>0</v>
      </c>
      <c r="G15" s="38">
        <f>'Stavební rozpočet'!L30</f>
        <v>1.449962</v>
      </c>
      <c r="H15" s="38" t="s">
        <v>586</v>
      </c>
      <c r="I15" s="38">
        <f t="shared" si="1"/>
        <v>0</v>
      </c>
    </row>
    <row r="16" spans="1:9" ht="12.75">
      <c r="A16" s="11"/>
      <c r="B16" s="11" t="s">
        <v>101</v>
      </c>
      <c r="C16" s="11" t="s">
        <v>102</v>
      </c>
      <c r="D16" s="38">
        <f>'Stavební rozpočet'!H35</f>
        <v>0</v>
      </c>
      <c r="E16" s="38">
        <f>'Stavební rozpočet'!I35</f>
        <v>0</v>
      </c>
      <c r="F16" s="38">
        <f t="shared" si="0"/>
        <v>0</v>
      </c>
      <c r="G16" s="38">
        <f>'Stavební rozpočet'!L35</f>
        <v>7.0729848</v>
      </c>
      <c r="H16" s="38" t="s">
        <v>586</v>
      </c>
      <c r="I16" s="38">
        <f t="shared" si="1"/>
        <v>0</v>
      </c>
    </row>
    <row r="17" spans="1:9" ht="12.75">
      <c r="A17" s="11"/>
      <c r="B17" s="11" t="s">
        <v>109</v>
      </c>
      <c r="C17" s="11" t="s">
        <v>110</v>
      </c>
      <c r="D17" s="38">
        <f>'Stavební rozpočet'!H38</f>
        <v>0</v>
      </c>
      <c r="E17" s="38">
        <f>'Stavební rozpočet'!I38</f>
        <v>0</v>
      </c>
      <c r="F17" s="38">
        <f t="shared" si="0"/>
        <v>0</v>
      </c>
      <c r="G17" s="38">
        <f>'Stavební rozpočet'!L38</f>
        <v>0.077112</v>
      </c>
      <c r="H17" s="38" t="s">
        <v>586</v>
      </c>
      <c r="I17" s="38">
        <f t="shared" si="1"/>
        <v>0</v>
      </c>
    </row>
    <row r="18" spans="1:9" ht="12.75">
      <c r="A18" s="11"/>
      <c r="B18" s="11" t="s">
        <v>118</v>
      </c>
      <c r="C18" s="11" t="s">
        <v>119</v>
      </c>
      <c r="D18" s="38">
        <f>'Stavební rozpočet'!H41</f>
        <v>0</v>
      </c>
      <c r="E18" s="38">
        <f>'Stavební rozpočet'!I41</f>
        <v>0</v>
      </c>
      <c r="F18" s="38">
        <f t="shared" si="0"/>
        <v>0</v>
      </c>
      <c r="G18" s="38">
        <f>'Stavební rozpočet'!L41</f>
        <v>26.121571087</v>
      </c>
      <c r="H18" s="38" t="s">
        <v>586</v>
      </c>
      <c r="I18" s="38">
        <f t="shared" si="1"/>
        <v>0</v>
      </c>
    </row>
    <row r="19" spans="1:9" ht="12.75">
      <c r="A19" s="11"/>
      <c r="B19" s="11" t="s">
        <v>222</v>
      </c>
      <c r="C19" s="11" t="s">
        <v>223</v>
      </c>
      <c r="D19" s="38">
        <f>'Stavební rozpočet'!H109</f>
        <v>0</v>
      </c>
      <c r="E19" s="38">
        <f>'Stavební rozpočet'!I109</f>
        <v>0</v>
      </c>
      <c r="F19" s="38">
        <f t="shared" si="0"/>
        <v>0</v>
      </c>
      <c r="G19" s="38">
        <f>'Stavební rozpočet'!L109</f>
        <v>2.3711852500000004</v>
      </c>
      <c r="H19" s="38" t="s">
        <v>586</v>
      </c>
      <c r="I19" s="38">
        <f t="shared" si="1"/>
        <v>0</v>
      </c>
    </row>
    <row r="20" spans="1:9" ht="12.75">
      <c r="A20" s="11"/>
      <c r="B20" s="11" t="s">
        <v>237</v>
      </c>
      <c r="C20" s="11" t="s">
        <v>238</v>
      </c>
      <c r="D20" s="38">
        <f>'Stavební rozpočet'!H117</f>
        <v>0</v>
      </c>
      <c r="E20" s="38">
        <f>'Stavební rozpočet'!I117</f>
        <v>0</v>
      </c>
      <c r="F20" s="38">
        <f t="shared" si="0"/>
        <v>0</v>
      </c>
      <c r="G20" s="38">
        <f>'Stavební rozpočet'!L117</f>
        <v>0.25609</v>
      </c>
      <c r="H20" s="38" t="s">
        <v>586</v>
      </c>
      <c r="I20" s="38">
        <f t="shared" si="1"/>
        <v>0</v>
      </c>
    </row>
    <row r="21" spans="1:9" ht="12.75">
      <c r="A21" s="11"/>
      <c r="B21" s="11" t="s">
        <v>254</v>
      </c>
      <c r="C21" s="11" t="s">
        <v>255</v>
      </c>
      <c r="D21" s="38">
        <f>'Stavební rozpočet'!H126</f>
        <v>0</v>
      </c>
      <c r="E21" s="38">
        <f>'Stavební rozpočet'!I126</f>
        <v>0</v>
      </c>
      <c r="F21" s="38">
        <f t="shared" si="0"/>
        <v>0</v>
      </c>
      <c r="G21" s="38">
        <f>'Stavební rozpočet'!L126</f>
        <v>3.6279723099999996</v>
      </c>
      <c r="H21" s="38" t="s">
        <v>586</v>
      </c>
      <c r="I21" s="38">
        <f t="shared" si="1"/>
        <v>0</v>
      </c>
    </row>
    <row r="22" spans="1:9" ht="12.75">
      <c r="A22" s="11"/>
      <c r="B22" s="11" t="s">
        <v>303</v>
      </c>
      <c r="C22" s="11" t="s">
        <v>304</v>
      </c>
      <c r="D22" s="38">
        <f>'Stavební rozpočet'!H153</f>
        <v>0</v>
      </c>
      <c r="E22" s="38">
        <f>'Stavební rozpočet'!I153</f>
        <v>0</v>
      </c>
      <c r="F22" s="38">
        <f t="shared" si="0"/>
        <v>0</v>
      </c>
      <c r="G22" s="38">
        <f>'Stavební rozpočet'!L153</f>
        <v>0.35229</v>
      </c>
      <c r="H22" s="38" t="s">
        <v>586</v>
      </c>
      <c r="I22" s="38">
        <f t="shared" si="1"/>
        <v>0</v>
      </c>
    </row>
    <row r="23" spans="1:9" ht="12.75">
      <c r="A23" s="11"/>
      <c r="B23" s="11" t="s">
        <v>331</v>
      </c>
      <c r="C23" s="11" t="s">
        <v>332</v>
      </c>
      <c r="D23" s="38">
        <f>'Stavební rozpočet'!H168</f>
        <v>0</v>
      </c>
      <c r="E23" s="38">
        <f>'Stavební rozpočet'!I168</f>
        <v>0</v>
      </c>
      <c r="F23" s="38">
        <f t="shared" si="0"/>
        <v>0</v>
      </c>
      <c r="G23" s="38">
        <f>'Stavební rozpočet'!L168</f>
        <v>0</v>
      </c>
      <c r="H23" s="38" t="s">
        <v>586</v>
      </c>
      <c r="I23" s="38">
        <f t="shared" si="1"/>
        <v>0</v>
      </c>
    </row>
    <row r="24" spans="1:9" ht="12.75">
      <c r="A24" s="11"/>
      <c r="B24" s="11" t="s">
        <v>337</v>
      </c>
      <c r="C24" s="11" t="s">
        <v>338</v>
      </c>
      <c r="D24" s="38">
        <f>'Stavební rozpočet'!H171</f>
        <v>0</v>
      </c>
      <c r="E24" s="38">
        <f>'Stavební rozpočet'!I171</f>
        <v>0</v>
      </c>
      <c r="F24" s="38">
        <f t="shared" si="0"/>
        <v>0</v>
      </c>
      <c r="G24" s="38">
        <f>'Stavební rozpočet'!L171</f>
        <v>4.6396152</v>
      </c>
      <c r="H24" s="38" t="s">
        <v>586</v>
      </c>
      <c r="I24" s="38">
        <f t="shared" si="1"/>
        <v>0</v>
      </c>
    </row>
    <row r="25" spans="1:9" ht="12.75">
      <c r="A25" s="11"/>
      <c r="B25" s="11" t="s">
        <v>349</v>
      </c>
      <c r="C25" s="11" t="s">
        <v>350</v>
      </c>
      <c r="D25" s="38">
        <f>'Stavební rozpočet'!H176</f>
        <v>0</v>
      </c>
      <c r="E25" s="38">
        <f>'Stavební rozpočet'!I176</f>
        <v>0</v>
      </c>
      <c r="F25" s="38">
        <f t="shared" si="0"/>
        <v>0</v>
      </c>
      <c r="G25" s="38">
        <f>'Stavební rozpočet'!L176</f>
        <v>1.7078666</v>
      </c>
      <c r="H25" s="38" t="s">
        <v>586</v>
      </c>
      <c r="I25" s="38">
        <f t="shared" si="1"/>
        <v>0</v>
      </c>
    </row>
    <row r="26" spans="1:9" ht="12.75">
      <c r="A26" s="11"/>
      <c r="B26" s="11" t="s">
        <v>384</v>
      </c>
      <c r="C26" s="11" t="s">
        <v>385</v>
      </c>
      <c r="D26" s="38">
        <f>'Stavební rozpočet'!H196</f>
        <v>0</v>
      </c>
      <c r="E26" s="38">
        <f>'Stavební rozpočet'!I196</f>
        <v>0</v>
      </c>
      <c r="F26" s="38">
        <f t="shared" si="0"/>
        <v>0</v>
      </c>
      <c r="G26" s="38">
        <f>'Stavební rozpočet'!L196</f>
        <v>0.2519616</v>
      </c>
      <c r="H26" s="38" t="s">
        <v>586</v>
      </c>
      <c r="I26" s="38">
        <f t="shared" si="1"/>
        <v>0</v>
      </c>
    </row>
    <row r="27" spans="1:9" ht="12.75">
      <c r="A27" s="11"/>
      <c r="B27" s="11" t="s">
        <v>426</v>
      </c>
      <c r="C27" s="11" t="s">
        <v>427</v>
      </c>
      <c r="D27" s="38">
        <f>'Stavební rozpočet'!H217</f>
        <v>0</v>
      </c>
      <c r="E27" s="38">
        <f>'Stavební rozpočet'!I217</f>
        <v>0</v>
      </c>
      <c r="F27" s="38">
        <f t="shared" si="0"/>
        <v>0</v>
      </c>
      <c r="G27" s="38">
        <f>'Stavební rozpočet'!L217</f>
        <v>0.334125</v>
      </c>
      <c r="H27" s="38" t="s">
        <v>586</v>
      </c>
      <c r="I27" s="38">
        <f t="shared" si="1"/>
        <v>0</v>
      </c>
    </row>
    <row r="28" spans="1:9" ht="12.75">
      <c r="A28" s="11"/>
      <c r="B28" s="11" t="s">
        <v>438</v>
      </c>
      <c r="C28" s="11" t="s">
        <v>439</v>
      </c>
      <c r="D28" s="38">
        <f>'Stavební rozpočet'!H222</f>
        <v>0</v>
      </c>
      <c r="E28" s="38">
        <f>'Stavební rozpočet'!I222</f>
        <v>0</v>
      </c>
      <c r="F28" s="38">
        <f t="shared" si="0"/>
        <v>0</v>
      </c>
      <c r="G28" s="38">
        <f>'Stavební rozpočet'!L222</f>
        <v>0.0753376</v>
      </c>
      <c r="H28" s="38" t="s">
        <v>586</v>
      </c>
      <c r="I28" s="38">
        <f t="shared" si="1"/>
        <v>0</v>
      </c>
    </row>
    <row r="29" spans="1:9" ht="12.75">
      <c r="A29" s="11"/>
      <c r="B29" s="11" t="s">
        <v>450</v>
      </c>
      <c r="C29" s="11" t="s">
        <v>451</v>
      </c>
      <c r="D29" s="38">
        <f>'Stavební rozpočet'!H227</f>
        <v>0</v>
      </c>
      <c r="E29" s="38">
        <f>'Stavební rozpočet'!I227</f>
        <v>0</v>
      </c>
      <c r="F29" s="38">
        <f t="shared" si="0"/>
        <v>0</v>
      </c>
      <c r="G29" s="38">
        <f>'Stavební rozpočet'!L227</f>
        <v>0</v>
      </c>
      <c r="H29" s="38" t="s">
        <v>586</v>
      </c>
      <c r="I29" s="38">
        <f t="shared" si="1"/>
        <v>0</v>
      </c>
    </row>
    <row r="30" spans="1:9" ht="12.75">
      <c r="A30" s="11"/>
      <c r="B30" s="11" t="s">
        <v>458</v>
      </c>
      <c r="C30" s="11" t="s">
        <v>459</v>
      </c>
      <c r="D30" s="38">
        <f>'Stavební rozpočet'!H230</f>
        <v>0</v>
      </c>
      <c r="E30" s="38">
        <f>'Stavební rozpočet'!I230</f>
        <v>0</v>
      </c>
      <c r="F30" s="38">
        <f t="shared" si="0"/>
        <v>0</v>
      </c>
      <c r="G30" s="38">
        <f>'Stavební rozpočet'!L230</f>
        <v>17.26704</v>
      </c>
      <c r="H30" s="38" t="s">
        <v>586</v>
      </c>
      <c r="I30" s="38">
        <f t="shared" si="1"/>
        <v>0</v>
      </c>
    </row>
    <row r="31" spans="1:9" ht="12.75">
      <c r="A31" s="11"/>
      <c r="B31" s="11" t="s">
        <v>487</v>
      </c>
      <c r="C31" s="11" t="s">
        <v>488</v>
      </c>
      <c r="D31" s="38">
        <f>'Stavební rozpočet'!H247</f>
        <v>0</v>
      </c>
      <c r="E31" s="38">
        <f>'Stavební rozpočet'!I247</f>
        <v>0</v>
      </c>
      <c r="F31" s="38">
        <f t="shared" si="0"/>
        <v>0</v>
      </c>
      <c r="G31" s="38">
        <f>'Stavební rozpočet'!L247</f>
        <v>0.0104144</v>
      </c>
      <c r="H31" s="38" t="s">
        <v>586</v>
      </c>
      <c r="I31" s="38">
        <f t="shared" si="1"/>
        <v>0</v>
      </c>
    </row>
    <row r="32" spans="1:9" ht="12.75">
      <c r="A32" s="11"/>
      <c r="B32" s="11" t="s">
        <v>494</v>
      </c>
      <c r="C32" s="11" t="s">
        <v>495</v>
      </c>
      <c r="D32" s="38">
        <f>'Stavební rozpočet'!H250</f>
        <v>0</v>
      </c>
      <c r="E32" s="38">
        <f>'Stavební rozpočet'!I250</f>
        <v>0</v>
      </c>
      <c r="F32" s="38">
        <f t="shared" si="0"/>
        <v>0</v>
      </c>
      <c r="G32" s="38">
        <f>'Stavební rozpočet'!L250</f>
        <v>9.32711008</v>
      </c>
      <c r="H32" s="38" t="s">
        <v>586</v>
      </c>
      <c r="I32" s="38">
        <f t="shared" si="1"/>
        <v>0</v>
      </c>
    </row>
    <row r="33" spans="1:9" ht="12.75">
      <c r="A33" s="11"/>
      <c r="B33" s="11" t="s">
        <v>520</v>
      </c>
      <c r="C33" s="11" t="s">
        <v>521</v>
      </c>
      <c r="D33" s="38">
        <f>'Stavební rozpočet'!H264</f>
        <v>0</v>
      </c>
      <c r="E33" s="38">
        <f>'Stavební rozpočet'!I264</f>
        <v>0</v>
      </c>
      <c r="F33" s="38">
        <f t="shared" si="0"/>
        <v>0</v>
      </c>
      <c r="G33" s="38">
        <f>'Stavební rozpočet'!L264</f>
        <v>7.277764999999999</v>
      </c>
      <c r="H33" s="38" t="s">
        <v>586</v>
      </c>
      <c r="I33" s="38">
        <f t="shared" si="1"/>
        <v>0</v>
      </c>
    </row>
    <row r="34" spans="1:9" ht="12.75">
      <c r="A34" s="11"/>
      <c r="B34" s="11" t="s">
        <v>531</v>
      </c>
      <c r="C34" s="11" t="s">
        <v>532</v>
      </c>
      <c r="D34" s="38">
        <f>'Stavební rozpočet'!H271</f>
        <v>0</v>
      </c>
      <c r="E34" s="38">
        <f>'Stavební rozpočet'!I271</f>
        <v>0</v>
      </c>
      <c r="F34" s="38">
        <f t="shared" si="0"/>
        <v>0</v>
      </c>
      <c r="G34" s="38">
        <f>'Stavební rozpočet'!L271</f>
        <v>0</v>
      </c>
      <c r="H34" s="38" t="s">
        <v>586</v>
      </c>
      <c r="I34" s="38">
        <f t="shared" si="1"/>
        <v>0</v>
      </c>
    </row>
    <row r="35" spans="1:9" ht="12.75">
      <c r="A35" s="11"/>
      <c r="B35" s="11" t="s">
        <v>537</v>
      </c>
      <c r="C35" s="11" t="s">
        <v>538</v>
      </c>
      <c r="D35" s="38">
        <f>'Stavební rozpočet'!H274</f>
        <v>0</v>
      </c>
      <c r="E35" s="38">
        <f>'Stavební rozpočet'!I274</f>
        <v>0</v>
      </c>
      <c r="F35" s="38">
        <f t="shared" si="0"/>
        <v>0</v>
      </c>
      <c r="G35" s="38">
        <f>'Stavební rozpočet'!L274</f>
        <v>0.022968</v>
      </c>
      <c r="H35" s="38" t="s">
        <v>586</v>
      </c>
      <c r="I35" s="38">
        <f t="shared" si="1"/>
        <v>0</v>
      </c>
    </row>
    <row r="36" spans="1:9" ht="12.75">
      <c r="A36" s="11"/>
      <c r="B36" s="11" t="s">
        <v>550</v>
      </c>
      <c r="C36" s="11" t="s">
        <v>551</v>
      </c>
      <c r="D36" s="38">
        <f>'Stavební rozpočet'!H281</f>
        <v>0</v>
      </c>
      <c r="E36" s="38">
        <f>'Stavební rozpočet'!I281</f>
        <v>0</v>
      </c>
      <c r="F36" s="38">
        <f t="shared" si="0"/>
        <v>0</v>
      </c>
      <c r="G36" s="38">
        <f>'Stavební rozpočet'!L281</f>
        <v>0</v>
      </c>
      <c r="H36" s="38" t="s">
        <v>586</v>
      </c>
      <c r="I36" s="38">
        <f t="shared" si="1"/>
        <v>0</v>
      </c>
    </row>
    <row r="38" spans="5:6" ht="12.75">
      <c r="E38" s="60" t="s">
        <v>579</v>
      </c>
      <c r="F38" s="61">
        <f>ROUND(SUM(I11:I36),0)</f>
        <v>0</v>
      </c>
    </row>
  </sheetData>
  <sheetProtection selectLockedCells="1" selectUnlockedCells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zoomScale="95" zoomScaleNormal="95" workbookViewId="0" topLeftCell="A1">
      <pane ySplit="10" topLeftCell="A50" activePane="bottomLeft" state="frozen"/>
      <selection pane="topLeft" activeCell="A1" sqref="A1"/>
      <selection pane="bottomLeft" activeCell="D101" sqref="D101"/>
    </sheetView>
  </sheetViews>
  <sheetFormatPr defaultColWidth="11.421875" defaultRowHeight="12.75"/>
  <cols>
    <col min="1" max="2" width="9.140625" style="1" customWidth="1"/>
    <col min="3" max="3" width="13.28125" style="1" customWidth="1"/>
    <col min="4" max="4" width="104.7109375" style="1" customWidth="1"/>
    <col min="5" max="5" width="14.57421875" style="1" customWidth="1"/>
    <col min="6" max="6" width="24.140625" style="1" customWidth="1"/>
    <col min="7" max="7" width="20.421875" style="1" customWidth="1"/>
    <col min="8" max="8" width="16.421875" style="1" customWidth="1"/>
    <col min="9" max="16384" width="11.57421875" style="1" customWidth="1"/>
  </cols>
  <sheetData>
    <row r="1" spans="1:8" ht="72.75" customHeight="1">
      <c r="A1" s="2" t="s">
        <v>587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3"/>
      <c r="C2" s="4">
        <f>'Stavební rozpočet'!D2</f>
        <v>0</v>
      </c>
      <c r="D2" s="4"/>
      <c r="E2" s="6" t="s">
        <v>5</v>
      </c>
      <c r="F2" s="7">
        <f>'Stavební rozpočet'!J2</f>
        <v>0</v>
      </c>
      <c r="G2" s="7"/>
      <c r="H2" s="7"/>
      <c r="I2" s="8"/>
    </row>
    <row r="3" spans="1:9" ht="12.75">
      <c r="A3" s="3"/>
      <c r="B3" s="3"/>
      <c r="C3" s="4"/>
      <c r="D3" s="4"/>
      <c r="E3" s="6"/>
      <c r="F3" s="6"/>
      <c r="G3" s="7"/>
      <c r="H3" s="7"/>
      <c r="I3" s="8"/>
    </row>
    <row r="4" spans="1:9" ht="12.75" customHeight="1">
      <c r="A4" s="9" t="s">
        <v>7</v>
      </c>
      <c r="B4" s="9"/>
      <c r="C4" s="10">
        <f>'Stavební rozpočet'!D4</f>
        <v>0</v>
      </c>
      <c r="D4" s="10"/>
      <c r="E4" s="10" t="s">
        <v>10</v>
      </c>
      <c r="F4" s="12">
        <f>'Stavební rozpočet'!J4</f>
        <v>0</v>
      </c>
      <c r="G4" s="12"/>
      <c r="H4" s="12"/>
      <c r="I4" s="8"/>
    </row>
    <row r="5" spans="1:9" ht="12.75">
      <c r="A5" s="9"/>
      <c r="B5" s="9"/>
      <c r="C5" s="10"/>
      <c r="D5" s="10"/>
      <c r="E5" s="10"/>
      <c r="F5" s="10"/>
      <c r="G5" s="12"/>
      <c r="H5" s="12"/>
      <c r="I5" s="8"/>
    </row>
    <row r="6" spans="1:9" ht="12.75" customHeight="1">
      <c r="A6" s="9" t="s">
        <v>12</v>
      </c>
      <c r="B6" s="9"/>
      <c r="C6" s="10">
        <f>'Stavební rozpočet'!D6</f>
        <v>0</v>
      </c>
      <c r="D6" s="10"/>
      <c r="E6" s="10" t="s">
        <v>15</v>
      </c>
      <c r="F6" s="12">
        <f>'Stavební rozpočet'!J6</f>
        <v>0</v>
      </c>
      <c r="G6" s="12"/>
      <c r="H6" s="12"/>
      <c r="I6" s="8"/>
    </row>
    <row r="7" spans="1:9" ht="12.75">
      <c r="A7" s="9"/>
      <c r="B7" s="9"/>
      <c r="C7" s="10"/>
      <c r="D7" s="10"/>
      <c r="E7" s="10"/>
      <c r="F7" s="10"/>
      <c r="G7" s="12"/>
      <c r="H7" s="12"/>
      <c r="I7" s="8"/>
    </row>
    <row r="8" spans="1:9" ht="12.75" customHeight="1">
      <c r="A8" s="13" t="s">
        <v>20</v>
      </c>
      <c r="B8" s="13"/>
      <c r="C8" s="14">
        <f>'Stavební rozpočet'!J8</f>
        <v>0</v>
      </c>
      <c r="D8" s="14"/>
      <c r="E8" s="14" t="s">
        <v>18</v>
      </c>
      <c r="F8" s="16">
        <f>'Stavební rozpočet'!G8</f>
        <v>0</v>
      </c>
      <c r="G8" s="16"/>
      <c r="H8" s="16"/>
      <c r="I8" s="8"/>
    </row>
    <row r="9" spans="1:9" ht="12.75">
      <c r="A9" s="13"/>
      <c r="B9" s="13"/>
      <c r="C9" s="14"/>
      <c r="D9" s="14"/>
      <c r="E9" s="14"/>
      <c r="F9" s="14"/>
      <c r="G9" s="16"/>
      <c r="H9" s="16"/>
      <c r="I9" s="8"/>
    </row>
    <row r="10" spans="1:9" ht="12.75">
      <c r="A10" s="54" t="s">
        <v>22</v>
      </c>
      <c r="B10" s="55" t="s">
        <v>23</v>
      </c>
      <c r="C10" s="55" t="s">
        <v>24</v>
      </c>
      <c r="D10" s="55" t="s">
        <v>25</v>
      </c>
      <c r="E10" s="55" t="s">
        <v>26</v>
      </c>
      <c r="F10" s="55" t="s">
        <v>32</v>
      </c>
      <c r="G10" s="62" t="s">
        <v>27</v>
      </c>
      <c r="H10" s="53" t="s">
        <v>588</v>
      </c>
      <c r="I10" s="23"/>
    </row>
    <row r="11" spans="1:8" ht="12.75">
      <c r="A11" s="58" t="s">
        <v>49</v>
      </c>
      <c r="B11" s="58"/>
      <c r="C11" s="58" t="s">
        <v>50</v>
      </c>
      <c r="D11" s="58" t="s">
        <v>51</v>
      </c>
      <c r="E11" s="58" t="s">
        <v>52</v>
      </c>
      <c r="F11" s="58" t="s">
        <v>49</v>
      </c>
      <c r="G11" s="59">
        <v>1</v>
      </c>
      <c r="H11" s="63" t="s">
        <v>53</v>
      </c>
    </row>
    <row r="12" spans="1:8" ht="12.75">
      <c r="A12" s="11" t="s">
        <v>56</v>
      </c>
      <c r="B12" s="11"/>
      <c r="C12" s="11" t="s">
        <v>50</v>
      </c>
      <c r="D12" s="11" t="s">
        <v>57</v>
      </c>
      <c r="E12" s="11" t="s">
        <v>52</v>
      </c>
      <c r="F12" s="11" t="s">
        <v>49</v>
      </c>
      <c r="G12" s="38">
        <v>1</v>
      </c>
      <c r="H12" s="39" t="s">
        <v>53</v>
      </c>
    </row>
    <row r="13" spans="1:8" ht="12.75">
      <c r="A13" s="11" t="s">
        <v>58</v>
      </c>
      <c r="B13" s="11"/>
      <c r="C13" s="11" t="s">
        <v>50</v>
      </c>
      <c r="D13" s="11" t="s">
        <v>59</v>
      </c>
      <c r="E13" s="11" t="s">
        <v>52</v>
      </c>
      <c r="F13" s="11" t="s">
        <v>49</v>
      </c>
      <c r="G13" s="38">
        <v>1</v>
      </c>
      <c r="H13" s="39" t="s">
        <v>53</v>
      </c>
    </row>
    <row r="14" spans="1:8" ht="12.75">
      <c r="A14" s="11" t="s">
        <v>62</v>
      </c>
      <c r="B14" s="11"/>
      <c r="C14" s="11" t="s">
        <v>63</v>
      </c>
      <c r="D14" s="11" t="s">
        <v>64</v>
      </c>
      <c r="E14" s="11" t="s">
        <v>65</v>
      </c>
      <c r="F14" s="11" t="s">
        <v>68</v>
      </c>
      <c r="G14" s="38">
        <v>9.765</v>
      </c>
      <c r="H14" s="39" t="s">
        <v>53</v>
      </c>
    </row>
    <row r="15" spans="1:8" ht="12.75">
      <c r="A15" s="11" t="s">
        <v>71</v>
      </c>
      <c r="B15" s="11"/>
      <c r="C15" s="11" t="s">
        <v>72</v>
      </c>
      <c r="D15" s="11" t="s">
        <v>73</v>
      </c>
      <c r="E15" s="11" t="s">
        <v>65</v>
      </c>
      <c r="F15" s="11" t="s">
        <v>75</v>
      </c>
      <c r="G15" s="38">
        <v>9.765</v>
      </c>
      <c r="H15" s="39" t="s">
        <v>53</v>
      </c>
    </row>
    <row r="16" spans="1:8" ht="12.75">
      <c r="A16" s="11" t="s">
        <v>78</v>
      </c>
      <c r="B16" s="11"/>
      <c r="C16" s="11" t="s">
        <v>79</v>
      </c>
      <c r="D16" s="11" t="s">
        <v>80</v>
      </c>
      <c r="E16" s="11" t="s">
        <v>81</v>
      </c>
      <c r="F16" s="11" t="s">
        <v>83</v>
      </c>
      <c r="G16" s="38">
        <v>86</v>
      </c>
      <c r="H16" s="39" t="s">
        <v>53</v>
      </c>
    </row>
    <row r="17" spans="1:8" ht="12.75">
      <c r="A17" s="11" t="s">
        <v>84</v>
      </c>
      <c r="B17" s="11"/>
      <c r="C17" s="11" t="s">
        <v>85</v>
      </c>
      <c r="D17" s="11" t="s">
        <v>86</v>
      </c>
      <c r="E17" s="11" t="s">
        <v>81</v>
      </c>
      <c r="F17" s="11" t="s">
        <v>87</v>
      </c>
      <c r="G17" s="38">
        <v>86</v>
      </c>
      <c r="H17" s="39" t="s">
        <v>53</v>
      </c>
    </row>
    <row r="18" spans="1:8" ht="12.75">
      <c r="A18" s="11" t="s">
        <v>90</v>
      </c>
      <c r="B18" s="11"/>
      <c r="C18" s="11" t="s">
        <v>91</v>
      </c>
      <c r="D18" s="11" t="s">
        <v>92</v>
      </c>
      <c r="E18" s="11" t="s">
        <v>65</v>
      </c>
      <c r="F18" s="11" t="s">
        <v>95</v>
      </c>
      <c r="G18" s="38">
        <v>0.24</v>
      </c>
      <c r="H18" s="39" t="s">
        <v>53</v>
      </c>
    </row>
    <row r="19" spans="1:8" ht="12.75">
      <c r="A19" s="11" t="s">
        <v>96</v>
      </c>
      <c r="B19" s="11"/>
      <c r="C19" s="11" t="s">
        <v>97</v>
      </c>
      <c r="D19" s="11" t="s">
        <v>98</v>
      </c>
      <c r="E19" s="11" t="s">
        <v>99</v>
      </c>
      <c r="F19" s="11" t="s">
        <v>100</v>
      </c>
      <c r="G19" s="38">
        <v>1</v>
      </c>
      <c r="H19" s="39" t="s">
        <v>53</v>
      </c>
    </row>
    <row r="20" spans="1:8" ht="12.75">
      <c r="A20" s="11" t="s">
        <v>103</v>
      </c>
      <c r="B20" s="11"/>
      <c r="C20" s="11" t="s">
        <v>104</v>
      </c>
      <c r="D20" s="11" t="s">
        <v>105</v>
      </c>
      <c r="E20" s="11" t="s">
        <v>81</v>
      </c>
      <c r="F20" s="11" t="s">
        <v>108</v>
      </c>
      <c r="G20" s="38">
        <v>39.06</v>
      </c>
      <c r="H20" s="39" t="s">
        <v>53</v>
      </c>
    </row>
    <row r="21" spans="1:8" ht="12.75">
      <c r="A21" s="11" t="s">
        <v>111</v>
      </c>
      <c r="B21" s="11"/>
      <c r="C21" s="11" t="s">
        <v>112</v>
      </c>
      <c r="D21" s="11" t="s">
        <v>113</v>
      </c>
      <c r="E21" s="11" t="s">
        <v>114</v>
      </c>
      <c r="F21" s="11" t="s">
        <v>117</v>
      </c>
      <c r="G21" s="38">
        <v>32.4</v>
      </c>
      <c r="H21" s="39" t="s">
        <v>53</v>
      </c>
    </row>
    <row r="22" spans="1:8" ht="12.75">
      <c r="A22" s="11" t="s">
        <v>60</v>
      </c>
      <c r="B22" s="11"/>
      <c r="C22" s="11" t="s">
        <v>120</v>
      </c>
      <c r="D22" s="11" t="s">
        <v>121</v>
      </c>
      <c r="E22" s="11" t="s">
        <v>81</v>
      </c>
      <c r="G22" s="38">
        <v>60.42</v>
      </c>
      <c r="H22" s="39" t="s">
        <v>53</v>
      </c>
    </row>
    <row r="23" spans="6:7" ht="12.75">
      <c r="F23" s="11" t="s">
        <v>123</v>
      </c>
      <c r="G23" s="38">
        <v>7.38</v>
      </c>
    </row>
    <row r="24" spans="1:7" ht="12.75">
      <c r="A24" s="11"/>
      <c r="B24" s="11"/>
      <c r="C24" s="11"/>
      <c r="D24" s="11"/>
      <c r="E24" s="11"/>
      <c r="F24" s="11" t="s">
        <v>124</v>
      </c>
      <c r="G24" s="38">
        <v>4.68</v>
      </c>
    </row>
    <row r="25" spans="1:7" ht="12.75">
      <c r="A25" s="11"/>
      <c r="B25" s="11"/>
      <c r="C25" s="11"/>
      <c r="D25" s="11"/>
      <c r="E25" s="11"/>
      <c r="F25" s="11" t="s">
        <v>125</v>
      </c>
      <c r="G25" s="38">
        <v>9.75</v>
      </c>
    </row>
    <row r="26" spans="1:7" ht="12.75">
      <c r="A26" s="11"/>
      <c r="B26" s="11"/>
      <c r="C26" s="11"/>
      <c r="D26" s="11"/>
      <c r="E26" s="11"/>
      <c r="F26" s="11" t="s">
        <v>126</v>
      </c>
      <c r="G26" s="38">
        <v>0.75</v>
      </c>
    </row>
    <row r="27" spans="1:7" ht="12.75">
      <c r="A27" s="11"/>
      <c r="B27" s="11"/>
      <c r="C27" s="11"/>
      <c r="D27" s="11"/>
      <c r="E27" s="11"/>
      <c r="F27" s="11" t="s">
        <v>127</v>
      </c>
      <c r="G27" s="38">
        <v>37.86</v>
      </c>
    </row>
    <row r="28" spans="1:8" ht="12.75">
      <c r="A28" s="11" t="s">
        <v>128</v>
      </c>
      <c r="B28" s="11"/>
      <c r="C28" s="11" t="s">
        <v>129</v>
      </c>
      <c r="D28" s="11" t="s">
        <v>130</v>
      </c>
      <c r="E28" s="11" t="s">
        <v>81</v>
      </c>
      <c r="G28" s="38">
        <v>46.29</v>
      </c>
      <c r="H28" s="39" t="s">
        <v>53</v>
      </c>
    </row>
    <row r="29" spans="6:7" ht="12.75">
      <c r="F29" s="11" t="s">
        <v>131</v>
      </c>
      <c r="G29" s="38">
        <v>10.62</v>
      </c>
    </row>
    <row r="30" spans="1:7" ht="12.75">
      <c r="A30" s="11"/>
      <c r="B30" s="11"/>
      <c r="C30" s="11"/>
      <c r="D30" s="11"/>
      <c r="E30" s="11"/>
      <c r="F30" s="11" t="s">
        <v>132</v>
      </c>
      <c r="G30" s="38">
        <v>10.62</v>
      </c>
    </row>
    <row r="31" spans="1:7" ht="12.75">
      <c r="A31" s="11"/>
      <c r="B31" s="11"/>
      <c r="C31" s="11"/>
      <c r="D31" s="11"/>
      <c r="E31" s="11"/>
      <c r="F31" s="11" t="s">
        <v>133</v>
      </c>
      <c r="G31" s="38">
        <v>2.49</v>
      </c>
    </row>
    <row r="32" spans="1:7" ht="12.75">
      <c r="A32" s="11"/>
      <c r="B32" s="11"/>
      <c r="C32" s="11"/>
      <c r="D32" s="11"/>
      <c r="E32" s="11"/>
      <c r="F32" s="11" t="s">
        <v>134</v>
      </c>
      <c r="G32" s="38">
        <v>4.23</v>
      </c>
    </row>
    <row r="33" spans="1:7" ht="12.75">
      <c r="A33" s="11"/>
      <c r="B33" s="11"/>
      <c r="C33" s="11"/>
      <c r="D33" s="11"/>
      <c r="E33" s="11"/>
      <c r="F33" s="11" t="s">
        <v>135</v>
      </c>
      <c r="G33" s="38">
        <v>18.33</v>
      </c>
    </row>
    <row r="34" spans="1:8" ht="12.75">
      <c r="A34" s="11" t="s">
        <v>136</v>
      </c>
      <c r="B34" s="11"/>
      <c r="C34" s="11" t="s">
        <v>137</v>
      </c>
      <c r="D34" s="11" t="s">
        <v>138</v>
      </c>
      <c r="E34" s="11" t="s">
        <v>81</v>
      </c>
      <c r="G34" s="38">
        <v>114.596</v>
      </c>
      <c r="H34" s="39" t="s">
        <v>53</v>
      </c>
    </row>
    <row r="35" spans="6:7" ht="12.75">
      <c r="F35" s="11" t="s">
        <v>139</v>
      </c>
      <c r="G35" s="38">
        <v>36.285</v>
      </c>
    </row>
    <row r="36" spans="1:7" ht="12.75">
      <c r="A36" s="11"/>
      <c r="B36" s="11"/>
      <c r="C36" s="11"/>
      <c r="D36" s="11"/>
      <c r="E36" s="11"/>
      <c r="F36" s="11" t="s">
        <v>140</v>
      </c>
      <c r="G36" s="38">
        <v>23.01</v>
      </c>
    </row>
    <row r="37" spans="1:7" ht="12.75">
      <c r="A37" s="11"/>
      <c r="B37" s="11"/>
      <c r="C37" s="11"/>
      <c r="D37" s="11"/>
      <c r="E37" s="11"/>
      <c r="F37" s="11" t="s">
        <v>141</v>
      </c>
      <c r="G37" s="38">
        <v>38.1875</v>
      </c>
    </row>
    <row r="38" spans="1:7" ht="12.75">
      <c r="A38" s="11"/>
      <c r="B38" s="11"/>
      <c r="C38" s="11"/>
      <c r="D38" s="11"/>
      <c r="E38" s="11"/>
      <c r="F38" s="11" t="s">
        <v>142</v>
      </c>
      <c r="G38" s="38">
        <v>5</v>
      </c>
    </row>
    <row r="39" spans="1:7" ht="12.75">
      <c r="A39" s="11"/>
      <c r="B39" s="11"/>
      <c r="C39" s="11"/>
      <c r="D39" s="11"/>
      <c r="E39" s="11"/>
      <c r="F39" s="11" t="s">
        <v>143</v>
      </c>
      <c r="G39" s="38">
        <v>9.8175</v>
      </c>
    </row>
    <row r="40" spans="1:7" ht="12.75">
      <c r="A40" s="11"/>
      <c r="B40" s="11"/>
      <c r="C40" s="11"/>
      <c r="D40" s="11"/>
      <c r="E40" s="11"/>
      <c r="F40" s="11" t="s">
        <v>144</v>
      </c>
      <c r="G40" s="38">
        <v>2.296</v>
      </c>
    </row>
    <row r="41" spans="1:8" ht="12.75">
      <c r="A41" s="11" t="s">
        <v>145</v>
      </c>
      <c r="B41" s="11"/>
      <c r="C41" s="11" t="s">
        <v>146</v>
      </c>
      <c r="D41" s="11" t="s">
        <v>147</v>
      </c>
      <c r="E41" s="11" t="s">
        <v>114</v>
      </c>
      <c r="G41" s="38">
        <v>255.87</v>
      </c>
      <c r="H41" s="39" t="s">
        <v>53</v>
      </c>
    </row>
    <row r="42" spans="6:7" ht="12.75">
      <c r="F42" s="11" t="s">
        <v>148</v>
      </c>
      <c r="G42" s="38">
        <v>72.57</v>
      </c>
    </row>
    <row r="43" spans="1:7" ht="12.75">
      <c r="A43" s="11"/>
      <c r="B43" s="11"/>
      <c r="C43" s="11"/>
      <c r="D43" s="11"/>
      <c r="E43" s="11"/>
      <c r="F43" s="11" t="s">
        <v>149</v>
      </c>
      <c r="G43" s="38">
        <v>51</v>
      </c>
    </row>
    <row r="44" spans="1:7" ht="12.75">
      <c r="A44" s="11"/>
      <c r="B44" s="11"/>
      <c r="C44" s="11"/>
      <c r="D44" s="11"/>
      <c r="E44" s="11"/>
      <c r="F44" s="11" t="s">
        <v>150</v>
      </c>
      <c r="G44" s="38">
        <v>93.6</v>
      </c>
    </row>
    <row r="45" spans="1:7" ht="12.75">
      <c r="A45" s="11"/>
      <c r="B45" s="11"/>
      <c r="C45" s="11"/>
      <c r="D45" s="11"/>
      <c r="E45" s="11"/>
      <c r="F45" s="11" t="s">
        <v>151</v>
      </c>
      <c r="G45" s="38">
        <v>10.5</v>
      </c>
    </row>
    <row r="46" spans="1:7" ht="12.75">
      <c r="A46" s="11"/>
      <c r="B46" s="11"/>
      <c r="C46" s="11"/>
      <c r="D46" s="11"/>
      <c r="E46" s="11"/>
      <c r="F46" s="11" t="s">
        <v>152</v>
      </c>
      <c r="G46" s="38">
        <v>28.2</v>
      </c>
    </row>
    <row r="47" spans="1:8" ht="12.75">
      <c r="A47" s="11" t="s">
        <v>69</v>
      </c>
      <c r="B47" s="11"/>
      <c r="C47" s="11" t="s">
        <v>153</v>
      </c>
      <c r="D47" s="11" t="s">
        <v>154</v>
      </c>
      <c r="E47" s="11" t="s">
        <v>114</v>
      </c>
      <c r="F47" s="11" t="s">
        <v>155</v>
      </c>
      <c r="G47" s="38">
        <v>89.37</v>
      </c>
      <c r="H47" s="39" t="s">
        <v>53</v>
      </c>
    </row>
    <row r="48" spans="1:8" ht="12.75">
      <c r="A48" s="11" t="s">
        <v>156</v>
      </c>
      <c r="B48" s="11"/>
      <c r="C48" s="11" t="s">
        <v>157</v>
      </c>
      <c r="D48" s="11" t="s">
        <v>158</v>
      </c>
      <c r="E48" s="11" t="s">
        <v>81</v>
      </c>
      <c r="F48" s="11" t="s">
        <v>159</v>
      </c>
      <c r="G48" s="38">
        <v>652.682</v>
      </c>
      <c r="H48" s="39" t="s">
        <v>53</v>
      </c>
    </row>
    <row r="49" spans="1:8" ht="12.75">
      <c r="A49" s="11" t="s">
        <v>76</v>
      </c>
      <c r="B49" s="11"/>
      <c r="C49" s="11" t="s">
        <v>160</v>
      </c>
      <c r="D49" s="11" t="s">
        <v>161</v>
      </c>
      <c r="E49" s="11" t="s">
        <v>81</v>
      </c>
      <c r="F49" s="11" t="s">
        <v>162</v>
      </c>
      <c r="G49" s="38">
        <v>122.025</v>
      </c>
      <c r="H49" s="39" t="s">
        <v>53</v>
      </c>
    </row>
    <row r="50" spans="1:8" ht="12.75">
      <c r="A50" s="11" t="s">
        <v>163</v>
      </c>
      <c r="B50" s="11"/>
      <c r="C50" s="11" t="s">
        <v>164</v>
      </c>
      <c r="D50" s="11" t="s">
        <v>165</v>
      </c>
      <c r="E50" s="11" t="s">
        <v>81</v>
      </c>
      <c r="F50" s="11" t="s">
        <v>166</v>
      </c>
      <c r="G50" s="38">
        <v>101.82</v>
      </c>
      <c r="H50" s="39" t="s">
        <v>53</v>
      </c>
    </row>
    <row r="51" spans="1:8" ht="12.75">
      <c r="A51" s="11" t="s">
        <v>167</v>
      </c>
      <c r="B51" s="11"/>
      <c r="C51" s="11" t="s">
        <v>168</v>
      </c>
      <c r="D51" s="11" t="s">
        <v>169</v>
      </c>
      <c r="E51" s="11" t="s">
        <v>81</v>
      </c>
      <c r="F51" s="11" t="s">
        <v>170</v>
      </c>
      <c r="G51" s="38">
        <v>101.82</v>
      </c>
      <c r="H51" s="39" t="s">
        <v>53</v>
      </c>
    </row>
    <row r="52" spans="1:8" ht="12.75">
      <c r="A52" s="11" t="s">
        <v>171</v>
      </c>
      <c r="B52" s="11"/>
      <c r="C52" s="11" t="s">
        <v>172</v>
      </c>
      <c r="D52" s="11" t="s">
        <v>589</v>
      </c>
      <c r="E52" s="11" t="s">
        <v>81</v>
      </c>
      <c r="G52" s="38">
        <v>105.8928</v>
      </c>
      <c r="H52" s="39" t="s">
        <v>53</v>
      </c>
    </row>
    <row r="53" spans="6:7" ht="12.75">
      <c r="F53" s="11" t="s">
        <v>590</v>
      </c>
      <c r="G53" s="38">
        <v>101.82</v>
      </c>
    </row>
    <row r="54" spans="1:7" ht="12.75">
      <c r="A54" s="11"/>
      <c r="B54" s="11"/>
      <c r="C54" s="11"/>
      <c r="D54" s="11"/>
      <c r="E54" s="11"/>
      <c r="F54" s="11" t="s">
        <v>175</v>
      </c>
      <c r="G54" s="38">
        <v>4.0728</v>
      </c>
    </row>
    <row r="55" spans="1:8" ht="12.75">
      <c r="A55" s="11" t="s">
        <v>176</v>
      </c>
      <c r="B55" s="11"/>
      <c r="C55" s="11" t="s">
        <v>177</v>
      </c>
      <c r="D55" s="11" t="s">
        <v>178</v>
      </c>
      <c r="E55" s="11" t="s">
        <v>81</v>
      </c>
      <c r="G55" s="38">
        <v>645.3325</v>
      </c>
      <c r="H55" s="39" t="s">
        <v>53</v>
      </c>
    </row>
    <row r="56" spans="6:7" ht="12.75">
      <c r="F56" s="11" t="s">
        <v>179</v>
      </c>
      <c r="G56" s="38">
        <v>755.165</v>
      </c>
    </row>
    <row r="57" spans="1:7" ht="12.75">
      <c r="A57" s="11"/>
      <c r="B57" s="11"/>
      <c r="C57" s="11"/>
      <c r="D57" s="11"/>
      <c r="E57" s="11"/>
      <c r="F57" s="11" t="s">
        <v>180</v>
      </c>
      <c r="G57" s="38">
        <v>-97.4825</v>
      </c>
    </row>
    <row r="58" spans="1:7" ht="12.75">
      <c r="A58" s="11"/>
      <c r="B58" s="11"/>
      <c r="C58" s="11"/>
      <c r="D58" s="11"/>
      <c r="E58" s="11"/>
      <c r="F58" s="11" t="s">
        <v>181</v>
      </c>
      <c r="G58" s="38">
        <v>-5</v>
      </c>
    </row>
    <row r="59" spans="1:7" ht="12.75">
      <c r="A59" s="11"/>
      <c r="B59" s="11"/>
      <c r="C59" s="11"/>
      <c r="D59" s="11"/>
      <c r="E59" s="11"/>
      <c r="F59" s="11" t="s">
        <v>182</v>
      </c>
      <c r="G59" s="38">
        <v>-7.35</v>
      </c>
    </row>
    <row r="60" spans="1:8" ht="12.75">
      <c r="A60" s="11" t="s">
        <v>183</v>
      </c>
      <c r="B60" s="11"/>
      <c r="C60" s="11" t="s">
        <v>184</v>
      </c>
      <c r="D60" s="11" t="s">
        <v>185</v>
      </c>
      <c r="E60" s="11" t="s">
        <v>81</v>
      </c>
      <c r="G60" s="38">
        <v>37.86</v>
      </c>
      <c r="H60" s="39" t="s">
        <v>53</v>
      </c>
    </row>
    <row r="61" spans="6:7" ht="12.75">
      <c r="F61" s="11" t="s">
        <v>186</v>
      </c>
      <c r="G61" s="38">
        <v>33.94</v>
      </c>
    </row>
    <row r="62" spans="1:7" ht="12.75">
      <c r="A62" s="11"/>
      <c r="B62" s="11"/>
      <c r="C62" s="11"/>
      <c r="D62" s="11"/>
      <c r="E62" s="11"/>
      <c r="F62" s="11" t="s">
        <v>187</v>
      </c>
      <c r="G62" s="38">
        <v>3.92</v>
      </c>
    </row>
    <row r="63" spans="1:8" ht="12.75">
      <c r="A63" s="11" t="s">
        <v>188</v>
      </c>
      <c r="B63" s="11"/>
      <c r="C63" s="11" t="s">
        <v>189</v>
      </c>
      <c r="D63" s="11" t="s">
        <v>190</v>
      </c>
      <c r="E63" s="11" t="s">
        <v>81</v>
      </c>
      <c r="G63" s="38">
        <v>41.78</v>
      </c>
      <c r="H63" s="39" t="s">
        <v>53</v>
      </c>
    </row>
    <row r="64" spans="6:7" ht="12.75">
      <c r="F64" s="11" t="s">
        <v>191</v>
      </c>
      <c r="G64" s="38">
        <v>3.92</v>
      </c>
    </row>
    <row r="65" spans="1:7" ht="12.75">
      <c r="A65" s="11"/>
      <c r="B65" s="11"/>
      <c r="C65" s="11"/>
      <c r="D65" s="11"/>
      <c r="E65" s="11"/>
      <c r="F65" s="11" t="s">
        <v>192</v>
      </c>
      <c r="G65" s="38">
        <v>37.86</v>
      </c>
    </row>
    <row r="66" spans="1:8" ht="12.75">
      <c r="A66" s="11" t="s">
        <v>193</v>
      </c>
      <c r="B66" s="11"/>
      <c r="C66" s="11" t="s">
        <v>194</v>
      </c>
      <c r="D66" s="11" t="s">
        <v>591</v>
      </c>
      <c r="E66" s="11" t="s">
        <v>81</v>
      </c>
      <c r="F66" s="11" t="s">
        <v>191</v>
      </c>
      <c r="G66" s="38">
        <v>3.92</v>
      </c>
      <c r="H66" s="39" t="s">
        <v>53</v>
      </c>
    </row>
    <row r="67" spans="1:8" ht="12.75">
      <c r="A67" s="11" t="s">
        <v>196</v>
      </c>
      <c r="B67" s="11"/>
      <c r="C67" s="11" t="s">
        <v>197</v>
      </c>
      <c r="D67" s="11" t="s">
        <v>198</v>
      </c>
      <c r="E67" s="11" t="s">
        <v>114</v>
      </c>
      <c r="F67" s="11" t="s">
        <v>199</v>
      </c>
      <c r="G67" s="38">
        <v>81.35</v>
      </c>
      <c r="H67" s="39" t="s">
        <v>53</v>
      </c>
    </row>
    <row r="68" spans="1:8" ht="12.75">
      <c r="A68" s="11" t="s">
        <v>200</v>
      </c>
      <c r="B68" s="11"/>
      <c r="C68" s="11" t="s">
        <v>201</v>
      </c>
      <c r="D68" s="11" t="s">
        <v>202</v>
      </c>
      <c r="E68" s="11" t="s">
        <v>81</v>
      </c>
      <c r="G68" s="38">
        <v>645.332</v>
      </c>
      <c r="H68" s="39" t="s">
        <v>53</v>
      </c>
    </row>
    <row r="69" spans="6:7" ht="12.75">
      <c r="F69" s="11" t="s">
        <v>203</v>
      </c>
      <c r="G69" s="38">
        <v>645.332</v>
      </c>
    </row>
    <row r="70" spans="1:7" ht="12.75">
      <c r="A70" s="11"/>
      <c r="B70" s="11"/>
      <c r="C70" s="11"/>
      <c r="D70" s="11"/>
      <c r="E70" s="11"/>
      <c r="F70" s="11" t="s">
        <v>204</v>
      </c>
      <c r="G70" s="38">
        <v>0</v>
      </c>
    </row>
    <row r="71" spans="1:7" ht="12.75">
      <c r="A71" s="11"/>
      <c r="B71" s="11"/>
      <c r="C71" s="11"/>
      <c r="D71" s="11"/>
      <c r="E71" s="11"/>
      <c r="F71" s="11" t="s">
        <v>592</v>
      </c>
      <c r="G71" s="38">
        <v>0</v>
      </c>
    </row>
    <row r="72" spans="1:7" ht="12.75">
      <c r="A72" s="11"/>
      <c r="B72" s="11"/>
      <c r="C72" s="11"/>
      <c r="D72" s="11"/>
      <c r="E72" s="11"/>
      <c r="F72" s="11" t="s">
        <v>593</v>
      </c>
      <c r="G72" s="38">
        <v>0</v>
      </c>
    </row>
    <row r="73" spans="1:8" ht="12.75">
      <c r="A73" s="11" t="s">
        <v>207</v>
      </c>
      <c r="B73" s="11"/>
      <c r="C73" s="11" t="s">
        <v>208</v>
      </c>
      <c r="D73" s="11" t="s">
        <v>209</v>
      </c>
      <c r="E73" s="11" t="s">
        <v>99</v>
      </c>
      <c r="F73" s="11" t="s">
        <v>210</v>
      </c>
      <c r="G73" s="38">
        <v>19</v>
      </c>
      <c r="H73" s="39" t="s">
        <v>53</v>
      </c>
    </row>
    <row r="74" spans="1:8" ht="12.75">
      <c r="A74" s="11" t="s">
        <v>211</v>
      </c>
      <c r="B74" s="11"/>
      <c r="C74" s="11" t="s">
        <v>212</v>
      </c>
      <c r="D74" s="11" t="s">
        <v>213</v>
      </c>
      <c r="E74" s="11" t="s">
        <v>81</v>
      </c>
      <c r="G74" s="38">
        <v>63.944</v>
      </c>
      <c r="H74" s="39" t="s">
        <v>53</v>
      </c>
    </row>
    <row r="75" spans="6:7" ht="12.75">
      <c r="F75" s="11" t="s">
        <v>214</v>
      </c>
      <c r="G75" s="38">
        <v>24.405</v>
      </c>
    </row>
    <row r="76" spans="1:7" ht="12.75">
      <c r="A76" s="11"/>
      <c r="B76" s="11"/>
      <c r="C76" s="11"/>
      <c r="D76" s="11"/>
      <c r="E76" s="11"/>
      <c r="F76" s="11" t="s">
        <v>215</v>
      </c>
      <c r="G76" s="38">
        <v>22.767</v>
      </c>
    </row>
    <row r="77" spans="1:7" ht="12.75">
      <c r="A77" s="11"/>
      <c r="B77" s="11"/>
      <c r="C77" s="11"/>
      <c r="D77" s="11"/>
      <c r="E77" s="11"/>
      <c r="F77" s="11" t="s">
        <v>216</v>
      </c>
      <c r="G77" s="38">
        <v>3.92</v>
      </c>
    </row>
    <row r="78" spans="1:7" ht="12.75">
      <c r="A78" s="11"/>
      <c r="B78" s="11"/>
      <c r="C78" s="11"/>
      <c r="D78" s="11"/>
      <c r="E78" s="11"/>
      <c r="F78" s="11" t="s">
        <v>217</v>
      </c>
      <c r="G78" s="38">
        <v>12.852</v>
      </c>
    </row>
    <row r="79" spans="1:8" ht="12.75">
      <c r="A79" s="11" t="s">
        <v>218</v>
      </c>
      <c r="B79" s="11"/>
      <c r="C79" s="11" t="s">
        <v>219</v>
      </c>
      <c r="D79" s="11" t="s">
        <v>220</v>
      </c>
      <c r="E79" s="11" t="s">
        <v>81</v>
      </c>
      <c r="F79" s="11" t="s">
        <v>221</v>
      </c>
      <c r="G79" s="38">
        <v>4.448</v>
      </c>
      <c r="H79" s="39" t="s">
        <v>53</v>
      </c>
    </row>
    <row r="80" spans="1:8" ht="12.75">
      <c r="A80" s="11" t="s">
        <v>88</v>
      </c>
      <c r="B80" s="11"/>
      <c r="C80" s="11" t="s">
        <v>224</v>
      </c>
      <c r="D80" s="11" t="s">
        <v>225</v>
      </c>
      <c r="E80" s="11" t="s">
        <v>81</v>
      </c>
      <c r="F80" s="11" t="s">
        <v>227</v>
      </c>
      <c r="G80" s="38">
        <v>3.92</v>
      </c>
      <c r="H80" s="39" t="s">
        <v>53</v>
      </c>
    </row>
    <row r="81" spans="1:8" ht="12.75">
      <c r="A81" s="11" t="s">
        <v>228</v>
      </c>
      <c r="B81" s="11"/>
      <c r="C81" s="11" t="s">
        <v>229</v>
      </c>
      <c r="D81" s="11" t="s">
        <v>594</v>
      </c>
      <c r="E81" s="11" t="s">
        <v>81</v>
      </c>
      <c r="F81" s="11" t="s">
        <v>231</v>
      </c>
      <c r="G81" s="38">
        <v>137.61</v>
      </c>
      <c r="H81" s="39" t="s">
        <v>53</v>
      </c>
    </row>
    <row r="82" spans="1:8" ht="12.75">
      <c r="A82" s="11" t="s">
        <v>232</v>
      </c>
      <c r="B82" s="11"/>
      <c r="C82" s="11" t="s">
        <v>233</v>
      </c>
      <c r="D82" s="11" t="s">
        <v>595</v>
      </c>
      <c r="E82" s="11" t="s">
        <v>65</v>
      </c>
      <c r="G82" s="38">
        <v>7.01811</v>
      </c>
      <c r="H82" s="39" t="s">
        <v>53</v>
      </c>
    </row>
    <row r="83" spans="6:7" ht="12.75">
      <c r="F83" s="11" t="s">
        <v>235</v>
      </c>
      <c r="G83" s="38">
        <v>6.8805</v>
      </c>
    </row>
    <row r="84" spans="1:7" ht="12.75">
      <c r="A84" s="11"/>
      <c r="B84" s="11"/>
      <c r="C84" s="11"/>
      <c r="D84" s="11"/>
      <c r="E84" s="11"/>
      <c r="F84" s="11" t="s">
        <v>236</v>
      </c>
      <c r="G84" s="38">
        <v>0.13761</v>
      </c>
    </row>
    <row r="85" spans="1:8" ht="12.75">
      <c r="A85" s="11" t="s">
        <v>239</v>
      </c>
      <c r="B85" s="11"/>
      <c r="C85" s="11" t="s">
        <v>240</v>
      </c>
      <c r="D85" s="11" t="s">
        <v>241</v>
      </c>
      <c r="E85" s="11" t="s">
        <v>99</v>
      </c>
      <c r="F85" s="11" t="s">
        <v>243</v>
      </c>
      <c r="G85" s="38">
        <v>2</v>
      </c>
      <c r="H85" s="39" t="s">
        <v>53</v>
      </c>
    </row>
    <row r="86" spans="1:8" ht="12.75">
      <c r="A86" s="11" t="s">
        <v>244</v>
      </c>
      <c r="B86" s="11"/>
      <c r="C86" s="11" t="s">
        <v>245</v>
      </c>
      <c r="D86" s="11" t="s">
        <v>246</v>
      </c>
      <c r="E86" s="11" t="s">
        <v>99</v>
      </c>
      <c r="G86" s="38">
        <v>1</v>
      </c>
      <c r="H86" s="39" t="s">
        <v>53</v>
      </c>
    </row>
    <row r="87" spans="6:7" ht="12.75">
      <c r="F87" s="11" t="s">
        <v>596</v>
      </c>
      <c r="G87" s="38">
        <v>1</v>
      </c>
    </row>
    <row r="88" spans="1:7" ht="12.75">
      <c r="A88" s="11"/>
      <c r="B88" s="11"/>
      <c r="C88" s="11"/>
      <c r="D88" s="11"/>
      <c r="E88" s="11"/>
      <c r="F88" s="11" t="s">
        <v>248</v>
      </c>
      <c r="G88" s="38">
        <v>0</v>
      </c>
    </row>
    <row r="89" spans="1:7" ht="12.75">
      <c r="A89" s="11"/>
      <c r="B89" s="11"/>
      <c r="C89" s="11"/>
      <c r="D89" s="11"/>
      <c r="E89" s="11"/>
      <c r="F89" s="11" t="s">
        <v>249</v>
      </c>
      <c r="G89" s="38">
        <v>0</v>
      </c>
    </row>
    <row r="90" spans="1:8" ht="12.75">
      <c r="A90" s="11" t="s">
        <v>250</v>
      </c>
      <c r="B90" s="11"/>
      <c r="C90" s="11" t="s">
        <v>251</v>
      </c>
      <c r="D90" s="11" t="s">
        <v>252</v>
      </c>
      <c r="E90" s="11" t="s">
        <v>99</v>
      </c>
      <c r="F90" s="11" t="s">
        <v>253</v>
      </c>
      <c r="G90" s="38">
        <v>1</v>
      </c>
      <c r="H90" s="39" t="s">
        <v>53</v>
      </c>
    </row>
    <row r="91" spans="1:8" ht="12.75">
      <c r="A91" s="11" t="s">
        <v>256</v>
      </c>
      <c r="B91" s="11"/>
      <c r="C91" s="11" t="s">
        <v>257</v>
      </c>
      <c r="D91" s="11" t="s">
        <v>597</v>
      </c>
      <c r="E91" s="11" t="s">
        <v>81</v>
      </c>
      <c r="G91" s="38">
        <v>235.43</v>
      </c>
      <c r="H91" s="39" t="s">
        <v>53</v>
      </c>
    </row>
    <row r="92" spans="6:7" ht="12.75">
      <c r="F92" s="11" t="s">
        <v>261</v>
      </c>
      <c r="G92" s="38">
        <v>90.81</v>
      </c>
    </row>
    <row r="93" spans="1:7" ht="12.75">
      <c r="A93" s="11"/>
      <c r="B93" s="11"/>
      <c r="C93" s="11"/>
      <c r="D93" s="11"/>
      <c r="E93" s="11"/>
      <c r="F93" s="11" t="s">
        <v>262</v>
      </c>
      <c r="G93" s="38">
        <v>61.45</v>
      </c>
    </row>
    <row r="94" spans="1:7" ht="12.75">
      <c r="A94" s="11"/>
      <c r="B94" s="11"/>
      <c r="C94" s="11"/>
      <c r="D94" s="11"/>
      <c r="E94" s="11"/>
      <c r="F94" s="11" t="s">
        <v>263</v>
      </c>
      <c r="G94" s="38">
        <v>79.23</v>
      </c>
    </row>
    <row r="95" spans="1:7" ht="12.75">
      <c r="A95" s="11"/>
      <c r="B95" s="11"/>
      <c r="C95" s="11"/>
      <c r="D95" s="11"/>
      <c r="E95" s="11"/>
      <c r="F95" s="11" t="s">
        <v>264</v>
      </c>
      <c r="G95" s="38">
        <v>3.94</v>
      </c>
    </row>
    <row r="96" spans="1:8" ht="12.75">
      <c r="A96" s="11" t="s">
        <v>265</v>
      </c>
      <c r="B96" s="11"/>
      <c r="C96" s="11" t="s">
        <v>266</v>
      </c>
      <c r="D96" s="11" t="s">
        <v>267</v>
      </c>
      <c r="E96" s="11" t="s">
        <v>81</v>
      </c>
      <c r="G96" s="38">
        <v>254.2644</v>
      </c>
      <c r="H96" s="39" t="s">
        <v>53</v>
      </c>
    </row>
    <row r="97" spans="6:7" ht="12.75">
      <c r="F97" s="11" t="s">
        <v>598</v>
      </c>
      <c r="G97" s="38">
        <v>235.43</v>
      </c>
    </row>
    <row r="98" spans="1:7" ht="12.75">
      <c r="A98" s="11"/>
      <c r="B98" s="11"/>
      <c r="C98" s="11"/>
      <c r="D98" s="11"/>
      <c r="E98" s="11"/>
      <c r="F98" s="11" t="s">
        <v>599</v>
      </c>
      <c r="G98" s="38">
        <v>18.8344</v>
      </c>
    </row>
    <row r="99" spans="1:8" ht="12.75">
      <c r="A99" s="11" t="s">
        <v>270</v>
      </c>
      <c r="B99" s="11"/>
      <c r="C99" s="11" t="s">
        <v>271</v>
      </c>
      <c r="D99" s="11" t="s">
        <v>272</v>
      </c>
      <c r="E99" s="11" t="s">
        <v>81</v>
      </c>
      <c r="G99" s="38">
        <v>31.576</v>
      </c>
      <c r="H99" s="39" t="s">
        <v>53</v>
      </c>
    </row>
    <row r="100" spans="6:7" ht="12.75">
      <c r="F100" s="11" t="s">
        <v>273</v>
      </c>
      <c r="G100" s="38">
        <v>6.9</v>
      </c>
    </row>
    <row r="101" spans="1:7" ht="12.75">
      <c r="A101" s="11"/>
      <c r="B101" s="11"/>
      <c r="C101" s="11"/>
      <c r="D101" s="11"/>
      <c r="E101" s="11"/>
      <c r="F101" s="11" t="s">
        <v>274</v>
      </c>
      <c r="G101" s="38">
        <v>24.676</v>
      </c>
    </row>
    <row r="102" spans="1:8" ht="12.75">
      <c r="A102" s="11" t="s">
        <v>275</v>
      </c>
      <c r="B102" s="11"/>
      <c r="C102" s="11" t="s">
        <v>276</v>
      </c>
      <c r="D102" s="11" t="s">
        <v>277</v>
      </c>
      <c r="E102" s="11" t="s">
        <v>81</v>
      </c>
      <c r="G102" s="38">
        <v>278.675</v>
      </c>
      <c r="H102" s="39" t="s">
        <v>53</v>
      </c>
    </row>
    <row r="103" spans="6:7" ht="12.75">
      <c r="F103" s="11" t="s">
        <v>278</v>
      </c>
      <c r="G103" s="38">
        <v>123.75</v>
      </c>
    </row>
    <row r="104" spans="1:7" ht="12.75">
      <c r="A104" s="11"/>
      <c r="B104" s="11"/>
      <c r="C104" s="11"/>
      <c r="D104" s="11"/>
      <c r="E104" s="11"/>
      <c r="F104" s="11" t="s">
        <v>279</v>
      </c>
      <c r="G104" s="38">
        <v>136.61</v>
      </c>
    </row>
    <row r="105" spans="1:7" ht="12.75">
      <c r="A105" s="11"/>
      <c r="B105" s="11"/>
      <c r="C105" s="11"/>
      <c r="D105" s="11"/>
      <c r="E105" s="11"/>
      <c r="F105" s="11" t="s">
        <v>280</v>
      </c>
      <c r="G105" s="38">
        <v>18.315</v>
      </c>
    </row>
    <row r="106" spans="1:8" ht="12.75">
      <c r="A106" s="11" t="s">
        <v>281</v>
      </c>
      <c r="B106" s="11"/>
      <c r="C106" s="11" t="s">
        <v>282</v>
      </c>
      <c r="D106" s="11" t="s">
        <v>283</v>
      </c>
      <c r="E106" s="11" t="s">
        <v>81</v>
      </c>
      <c r="G106" s="38">
        <v>531.1344</v>
      </c>
      <c r="H106" s="39" t="s">
        <v>53</v>
      </c>
    </row>
    <row r="107" spans="6:7" ht="12.75">
      <c r="F107" s="11" t="s">
        <v>284</v>
      </c>
      <c r="G107" s="38">
        <v>520.72</v>
      </c>
    </row>
    <row r="108" spans="1:7" ht="12.75">
      <c r="A108" s="11"/>
      <c r="B108" s="11"/>
      <c r="C108" s="11"/>
      <c r="D108" s="11"/>
      <c r="E108" s="11"/>
      <c r="F108" s="11" t="s">
        <v>285</v>
      </c>
      <c r="G108" s="38">
        <v>10.4144</v>
      </c>
    </row>
    <row r="109" spans="1:8" ht="12.75">
      <c r="A109" s="11" t="s">
        <v>286</v>
      </c>
      <c r="B109" s="11"/>
      <c r="C109" s="11" t="s">
        <v>287</v>
      </c>
      <c r="D109" s="11" t="s">
        <v>288</v>
      </c>
      <c r="E109" s="11" t="s">
        <v>81</v>
      </c>
      <c r="F109" s="11" t="s">
        <v>289</v>
      </c>
      <c r="G109" s="38">
        <v>17.649</v>
      </c>
      <c r="H109" s="39" t="s">
        <v>53</v>
      </c>
    </row>
    <row r="110" spans="1:8" ht="12.75">
      <c r="A110" s="11" t="s">
        <v>290</v>
      </c>
      <c r="B110" s="11"/>
      <c r="C110" s="11" t="s">
        <v>291</v>
      </c>
      <c r="D110" s="11" t="s">
        <v>600</v>
      </c>
      <c r="E110" s="11" t="s">
        <v>81</v>
      </c>
      <c r="F110" s="11" t="s">
        <v>293</v>
      </c>
      <c r="G110" s="38">
        <v>8.325</v>
      </c>
      <c r="H110" s="39" t="s">
        <v>53</v>
      </c>
    </row>
    <row r="111" spans="1:8" ht="12.75">
      <c r="A111" s="11" t="s">
        <v>294</v>
      </c>
      <c r="B111" s="11"/>
      <c r="C111" s="11" t="s">
        <v>295</v>
      </c>
      <c r="D111" s="11" t="s">
        <v>601</v>
      </c>
      <c r="E111" s="11" t="s">
        <v>81</v>
      </c>
      <c r="F111" s="11" t="s">
        <v>297</v>
      </c>
      <c r="G111" s="38">
        <v>9.324</v>
      </c>
      <c r="H111" s="39" t="s">
        <v>53</v>
      </c>
    </row>
    <row r="112" spans="1:8" ht="12.75">
      <c r="A112" s="11" t="s">
        <v>298</v>
      </c>
      <c r="B112" s="11"/>
      <c r="C112" s="11" t="s">
        <v>299</v>
      </c>
      <c r="D112" s="11" t="s">
        <v>300</v>
      </c>
      <c r="E112" s="11" t="s">
        <v>301</v>
      </c>
      <c r="F112" s="11" t="s">
        <v>302</v>
      </c>
      <c r="G112" s="38">
        <v>3.67</v>
      </c>
      <c r="H112" s="39" t="s">
        <v>53</v>
      </c>
    </row>
    <row r="113" spans="1:8" ht="12.75">
      <c r="A113" s="11" t="s">
        <v>305</v>
      </c>
      <c r="B113" s="11"/>
      <c r="C113" s="11" t="s">
        <v>306</v>
      </c>
      <c r="D113" s="11" t="s">
        <v>307</v>
      </c>
      <c r="E113" s="11" t="s">
        <v>99</v>
      </c>
      <c r="F113" s="11" t="s">
        <v>78</v>
      </c>
      <c r="G113" s="38">
        <v>6</v>
      </c>
      <c r="H113" s="39" t="s">
        <v>53</v>
      </c>
    </row>
    <row r="114" spans="1:8" ht="12.75">
      <c r="A114" s="11" t="s">
        <v>310</v>
      </c>
      <c r="B114" s="11"/>
      <c r="C114" s="11" t="s">
        <v>311</v>
      </c>
      <c r="D114" s="11" t="s">
        <v>312</v>
      </c>
      <c r="E114" s="11" t="s">
        <v>99</v>
      </c>
      <c r="F114" s="11" t="s">
        <v>313</v>
      </c>
      <c r="G114" s="38">
        <v>6</v>
      </c>
      <c r="H114" s="39" t="s">
        <v>53</v>
      </c>
    </row>
    <row r="115" spans="1:8" ht="12.75">
      <c r="A115" s="11" t="s">
        <v>314</v>
      </c>
      <c r="B115" s="11"/>
      <c r="C115" s="11" t="s">
        <v>315</v>
      </c>
      <c r="D115" s="11" t="s">
        <v>602</v>
      </c>
      <c r="E115" s="11" t="s">
        <v>99</v>
      </c>
      <c r="F115" s="11" t="s">
        <v>603</v>
      </c>
      <c r="G115" s="38">
        <v>1</v>
      </c>
      <c r="H115" s="39" t="s">
        <v>53</v>
      </c>
    </row>
    <row r="116" spans="1:8" ht="12.75">
      <c r="A116" s="11" t="s">
        <v>318</v>
      </c>
      <c r="B116" s="11"/>
      <c r="C116" s="11" t="s">
        <v>319</v>
      </c>
      <c r="D116" s="11" t="s">
        <v>320</v>
      </c>
      <c r="E116" s="11" t="s">
        <v>99</v>
      </c>
      <c r="F116" s="11" t="s">
        <v>49</v>
      </c>
      <c r="G116" s="38">
        <v>1</v>
      </c>
      <c r="H116" s="39" t="s">
        <v>53</v>
      </c>
    </row>
    <row r="117" spans="1:8" ht="12.75">
      <c r="A117" s="11" t="s">
        <v>321</v>
      </c>
      <c r="B117" s="11"/>
      <c r="C117" s="11" t="s">
        <v>322</v>
      </c>
      <c r="D117" s="11" t="s">
        <v>323</v>
      </c>
      <c r="E117" s="11" t="s">
        <v>99</v>
      </c>
      <c r="F117" s="11" t="s">
        <v>49</v>
      </c>
      <c r="G117" s="38">
        <v>1</v>
      </c>
      <c r="H117" s="39" t="s">
        <v>53</v>
      </c>
    </row>
    <row r="118" spans="1:8" ht="12.75">
      <c r="A118" s="11" t="s">
        <v>324</v>
      </c>
      <c r="B118" s="11"/>
      <c r="C118" s="11" t="s">
        <v>325</v>
      </c>
      <c r="D118" s="11" t="s">
        <v>326</v>
      </c>
      <c r="E118" s="11" t="s">
        <v>52</v>
      </c>
      <c r="F118" s="11" t="s">
        <v>49</v>
      </c>
      <c r="G118" s="38">
        <v>1</v>
      </c>
      <c r="H118" s="39" t="s">
        <v>53</v>
      </c>
    </row>
    <row r="119" spans="1:8" ht="12.75">
      <c r="A119" s="11" t="s">
        <v>327</v>
      </c>
      <c r="B119" s="11"/>
      <c r="C119" s="11" t="s">
        <v>328</v>
      </c>
      <c r="D119" s="11" t="s">
        <v>329</v>
      </c>
      <c r="E119" s="11" t="s">
        <v>301</v>
      </c>
      <c r="F119" s="11" t="s">
        <v>330</v>
      </c>
      <c r="G119" s="38">
        <v>0.35</v>
      </c>
      <c r="H119" s="39" t="s">
        <v>53</v>
      </c>
    </row>
    <row r="120" spans="1:8" ht="12.75">
      <c r="A120" s="11" t="s">
        <v>333</v>
      </c>
      <c r="B120" s="11"/>
      <c r="C120" s="11" t="s">
        <v>334</v>
      </c>
      <c r="D120" s="11" t="s">
        <v>335</v>
      </c>
      <c r="E120" s="11" t="s">
        <v>52</v>
      </c>
      <c r="F120" s="11" t="s">
        <v>163</v>
      </c>
      <c r="G120" s="38">
        <v>19</v>
      </c>
      <c r="H120" s="39" t="s">
        <v>53</v>
      </c>
    </row>
    <row r="121" spans="1:8" ht="12.75">
      <c r="A121" s="11" t="s">
        <v>339</v>
      </c>
      <c r="B121" s="11"/>
      <c r="C121" s="11" t="s">
        <v>340</v>
      </c>
      <c r="D121" s="11" t="s">
        <v>341</v>
      </c>
      <c r="E121" s="11" t="s">
        <v>81</v>
      </c>
      <c r="F121" s="11" t="s">
        <v>344</v>
      </c>
      <c r="G121" s="38">
        <v>260.36</v>
      </c>
      <c r="H121" s="39" t="s">
        <v>53</v>
      </c>
    </row>
    <row r="122" spans="1:8" ht="12.75">
      <c r="A122" s="11" t="s">
        <v>345</v>
      </c>
      <c r="B122" s="11"/>
      <c r="C122" s="11" t="s">
        <v>346</v>
      </c>
      <c r="D122" s="11" t="s">
        <v>347</v>
      </c>
      <c r="E122" s="11" t="s">
        <v>301</v>
      </c>
      <c r="F122" s="11" t="s">
        <v>348</v>
      </c>
      <c r="G122" s="38">
        <v>4.64</v>
      </c>
      <c r="H122" s="39" t="s">
        <v>53</v>
      </c>
    </row>
    <row r="123" spans="1:8" ht="12.75">
      <c r="A123" s="11" t="s">
        <v>351</v>
      </c>
      <c r="B123" s="11"/>
      <c r="C123" s="11" t="s">
        <v>352</v>
      </c>
      <c r="D123" s="11" t="s">
        <v>353</v>
      </c>
      <c r="E123" s="11" t="s">
        <v>114</v>
      </c>
      <c r="F123" s="11" t="s">
        <v>355</v>
      </c>
      <c r="G123" s="38">
        <v>62.4</v>
      </c>
      <c r="H123" s="39" t="s">
        <v>53</v>
      </c>
    </row>
    <row r="124" spans="1:8" ht="12.75">
      <c r="A124" s="11" t="s">
        <v>356</v>
      </c>
      <c r="B124" s="11"/>
      <c r="C124" s="11" t="s">
        <v>357</v>
      </c>
      <c r="D124" s="11" t="s">
        <v>358</v>
      </c>
      <c r="E124" s="11" t="s">
        <v>114</v>
      </c>
      <c r="F124" s="11" t="s">
        <v>359</v>
      </c>
      <c r="G124" s="38">
        <v>93.05</v>
      </c>
      <c r="H124" s="39" t="s">
        <v>53</v>
      </c>
    </row>
    <row r="125" spans="1:8" ht="12.75">
      <c r="A125" s="11" t="s">
        <v>360</v>
      </c>
      <c r="B125" s="11"/>
      <c r="C125" s="11" t="s">
        <v>361</v>
      </c>
      <c r="D125" s="11" t="s">
        <v>362</v>
      </c>
      <c r="E125" s="11" t="s">
        <v>114</v>
      </c>
      <c r="F125" s="11" t="s">
        <v>363</v>
      </c>
      <c r="G125" s="38">
        <v>84.85</v>
      </c>
      <c r="H125" s="39" t="s">
        <v>53</v>
      </c>
    </row>
    <row r="126" spans="1:8" ht="12.75">
      <c r="A126" s="11" t="s">
        <v>101</v>
      </c>
      <c r="B126" s="11"/>
      <c r="C126" s="11" t="s">
        <v>364</v>
      </c>
      <c r="D126" s="11" t="s">
        <v>365</v>
      </c>
      <c r="E126" s="11" t="s">
        <v>114</v>
      </c>
      <c r="F126" s="11" t="s">
        <v>366</v>
      </c>
      <c r="G126" s="38">
        <v>81.35</v>
      </c>
      <c r="H126" s="39" t="s">
        <v>53</v>
      </c>
    </row>
    <row r="127" spans="1:8" ht="12.75">
      <c r="A127" s="11" t="s">
        <v>367</v>
      </c>
      <c r="B127" s="11"/>
      <c r="C127" s="11" t="s">
        <v>368</v>
      </c>
      <c r="D127" s="11" t="s">
        <v>369</v>
      </c>
      <c r="E127" s="11" t="s">
        <v>114</v>
      </c>
      <c r="F127" s="11" t="s">
        <v>370</v>
      </c>
      <c r="G127" s="38">
        <v>84.85</v>
      </c>
      <c r="H127" s="39" t="s">
        <v>53</v>
      </c>
    </row>
    <row r="128" spans="1:8" ht="12.75">
      <c r="A128" s="11" t="s">
        <v>109</v>
      </c>
      <c r="B128" s="11"/>
      <c r="C128" s="11" t="s">
        <v>371</v>
      </c>
      <c r="D128" s="11" t="s">
        <v>372</v>
      </c>
      <c r="E128" s="11" t="s">
        <v>114</v>
      </c>
      <c r="F128" s="11" t="s">
        <v>373</v>
      </c>
      <c r="G128" s="38">
        <v>62.4</v>
      </c>
      <c r="H128" s="39" t="s">
        <v>53</v>
      </c>
    </row>
    <row r="129" spans="1:8" ht="12.75">
      <c r="A129" s="11" t="s">
        <v>118</v>
      </c>
      <c r="B129" s="11"/>
      <c r="C129" s="11" t="s">
        <v>374</v>
      </c>
      <c r="D129" s="11" t="s">
        <v>375</v>
      </c>
      <c r="E129" s="11" t="s">
        <v>81</v>
      </c>
      <c r="G129" s="38">
        <v>3.92</v>
      </c>
      <c r="H129" s="39" t="s">
        <v>53</v>
      </c>
    </row>
    <row r="130" spans="6:7" ht="12.75">
      <c r="F130" s="11" t="s">
        <v>376</v>
      </c>
      <c r="G130" s="38">
        <v>3.92</v>
      </c>
    </row>
    <row r="131" spans="1:7" ht="12.75">
      <c r="A131" s="11"/>
      <c r="B131" s="11"/>
      <c r="C131" s="11"/>
      <c r="D131" s="11"/>
      <c r="E131" s="11"/>
      <c r="F131" s="11" t="s">
        <v>377</v>
      </c>
      <c r="G131" s="38">
        <v>0</v>
      </c>
    </row>
    <row r="132" spans="1:8" ht="12.75">
      <c r="A132" s="11" t="s">
        <v>222</v>
      </c>
      <c r="B132" s="11"/>
      <c r="C132" s="11" t="s">
        <v>378</v>
      </c>
      <c r="D132" s="11" t="s">
        <v>379</v>
      </c>
      <c r="E132" s="11" t="s">
        <v>114</v>
      </c>
      <c r="F132" s="11" t="s">
        <v>380</v>
      </c>
      <c r="G132" s="38">
        <v>93.05</v>
      </c>
      <c r="H132" s="39" t="s">
        <v>53</v>
      </c>
    </row>
    <row r="133" spans="1:8" ht="12.75">
      <c r="A133" s="11" t="s">
        <v>237</v>
      </c>
      <c r="B133" s="11"/>
      <c r="C133" s="11" t="s">
        <v>381</v>
      </c>
      <c r="D133" s="11" t="s">
        <v>382</v>
      </c>
      <c r="E133" s="11" t="s">
        <v>301</v>
      </c>
      <c r="F133" s="11" t="s">
        <v>383</v>
      </c>
      <c r="G133" s="38">
        <v>1.71</v>
      </c>
      <c r="H133" s="39" t="s">
        <v>53</v>
      </c>
    </row>
    <row r="134" spans="1:8" ht="12.75">
      <c r="A134" s="11" t="s">
        <v>386</v>
      </c>
      <c r="B134" s="11"/>
      <c r="C134" s="11" t="s">
        <v>387</v>
      </c>
      <c r="D134" s="11" t="s">
        <v>388</v>
      </c>
      <c r="E134" s="11" t="s">
        <v>99</v>
      </c>
      <c r="F134" s="11" t="s">
        <v>390</v>
      </c>
      <c r="G134" s="38">
        <v>24</v>
      </c>
      <c r="H134" s="39" t="s">
        <v>53</v>
      </c>
    </row>
    <row r="135" spans="1:8" ht="12.75">
      <c r="A135" s="11" t="s">
        <v>391</v>
      </c>
      <c r="B135" s="11"/>
      <c r="C135" s="11" t="s">
        <v>392</v>
      </c>
      <c r="D135" s="11" t="s">
        <v>393</v>
      </c>
      <c r="E135" s="11" t="s">
        <v>99</v>
      </c>
      <c r="F135" s="11" t="s">
        <v>394</v>
      </c>
      <c r="G135" s="38">
        <v>7</v>
      </c>
      <c r="H135" s="39" t="s">
        <v>53</v>
      </c>
    </row>
    <row r="136" spans="1:8" ht="12.75">
      <c r="A136" s="11" t="s">
        <v>395</v>
      </c>
      <c r="B136" s="11"/>
      <c r="C136" s="11" t="s">
        <v>396</v>
      </c>
      <c r="D136" s="11" t="s">
        <v>397</v>
      </c>
      <c r="E136" s="11" t="s">
        <v>99</v>
      </c>
      <c r="F136" s="11" t="s">
        <v>398</v>
      </c>
      <c r="G136" s="38">
        <v>7</v>
      </c>
      <c r="H136" s="39" t="s">
        <v>53</v>
      </c>
    </row>
    <row r="137" spans="1:8" ht="12.75">
      <c r="A137" s="11" t="s">
        <v>399</v>
      </c>
      <c r="B137" s="11"/>
      <c r="C137" s="11" t="s">
        <v>400</v>
      </c>
      <c r="D137" s="11" t="s">
        <v>401</v>
      </c>
      <c r="E137" s="11" t="s">
        <v>114</v>
      </c>
      <c r="F137" s="11" t="s">
        <v>402</v>
      </c>
      <c r="G137" s="38">
        <v>2.5</v>
      </c>
      <c r="H137" s="39" t="s">
        <v>53</v>
      </c>
    </row>
    <row r="138" spans="1:8" ht="12.75">
      <c r="A138" s="11" t="s">
        <v>403</v>
      </c>
      <c r="B138" s="11"/>
      <c r="C138" s="11" t="s">
        <v>404</v>
      </c>
      <c r="D138" s="11" t="s">
        <v>405</v>
      </c>
      <c r="E138" s="11" t="s">
        <v>406</v>
      </c>
      <c r="F138" s="11" t="s">
        <v>407</v>
      </c>
      <c r="G138" s="38">
        <v>39.36</v>
      </c>
      <c r="H138" s="39" t="s">
        <v>53</v>
      </c>
    </row>
    <row r="139" spans="1:8" ht="12.75">
      <c r="A139" s="11" t="s">
        <v>408</v>
      </c>
      <c r="B139" s="11"/>
      <c r="C139" s="11" t="s">
        <v>409</v>
      </c>
      <c r="D139" s="11" t="s">
        <v>410</v>
      </c>
      <c r="E139" s="11" t="s">
        <v>99</v>
      </c>
      <c r="G139" s="38">
        <v>11</v>
      </c>
      <c r="H139" s="39" t="s">
        <v>53</v>
      </c>
    </row>
    <row r="140" spans="6:7" ht="12.75">
      <c r="F140" s="11" t="s">
        <v>411</v>
      </c>
      <c r="G140" s="38">
        <v>9</v>
      </c>
    </row>
    <row r="141" spans="1:7" ht="12.75">
      <c r="A141" s="11"/>
      <c r="B141" s="11"/>
      <c r="C141" s="11"/>
      <c r="D141" s="11"/>
      <c r="E141" s="11"/>
      <c r="F141" s="11" t="s">
        <v>412</v>
      </c>
      <c r="G141" s="38">
        <v>2</v>
      </c>
    </row>
    <row r="142" spans="1:8" ht="12.75">
      <c r="A142" s="11" t="s">
        <v>413</v>
      </c>
      <c r="B142" s="11"/>
      <c r="C142" s="11" t="s">
        <v>414</v>
      </c>
      <c r="D142" s="11" t="s">
        <v>415</v>
      </c>
      <c r="E142" s="11" t="s">
        <v>52</v>
      </c>
      <c r="F142" s="11" t="s">
        <v>416</v>
      </c>
      <c r="G142" s="38">
        <v>12</v>
      </c>
      <c r="H142" s="39" t="s">
        <v>53</v>
      </c>
    </row>
    <row r="143" spans="1:8" ht="12.75">
      <c r="A143" s="11" t="s">
        <v>417</v>
      </c>
      <c r="B143" s="11"/>
      <c r="C143" s="11" t="s">
        <v>418</v>
      </c>
      <c r="D143" s="11" t="s">
        <v>419</v>
      </c>
      <c r="E143" s="11" t="s">
        <v>114</v>
      </c>
      <c r="G143" s="38">
        <v>10</v>
      </c>
      <c r="H143" s="39" t="s">
        <v>53</v>
      </c>
    </row>
    <row r="144" spans="6:7" ht="12.75">
      <c r="F144" s="11" t="s">
        <v>420</v>
      </c>
      <c r="G144" s="38">
        <v>10</v>
      </c>
    </row>
    <row r="145" spans="1:7" ht="12.75">
      <c r="A145" s="11"/>
      <c r="B145" s="11"/>
      <c r="C145" s="11"/>
      <c r="D145" s="11"/>
      <c r="E145" s="11"/>
      <c r="F145" s="11" t="s">
        <v>421</v>
      </c>
      <c r="G145" s="38">
        <v>0</v>
      </c>
    </row>
    <row r="146" spans="1:8" ht="12.75">
      <c r="A146" s="11" t="s">
        <v>422</v>
      </c>
      <c r="B146" s="11"/>
      <c r="C146" s="11" t="s">
        <v>423</v>
      </c>
      <c r="D146" s="11" t="s">
        <v>424</v>
      </c>
      <c r="E146" s="11" t="s">
        <v>301</v>
      </c>
      <c r="F146" s="11" t="s">
        <v>425</v>
      </c>
      <c r="G146" s="38">
        <v>0.25</v>
      </c>
      <c r="H146" s="39" t="s">
        <v>53</v>
      </c>
    </row>
    <row r="147" spans="1:8" ht="12.75">
      <c r="A147" s="11" t="s">
        <v>428</v>
      </c>
      <c r="B147" s="11"/>
      <c r="C147" s="11" t="s">
        <v>429</v>
      </c>
      <c r="D147" s="11" t="s">
        <v>430</v>
      </c>
      <c r="E147" s="11" t="s">
        <v>81</v>
      </c>
      <c r="F147" s="11" t="s">
        <v>433</v>
      </c>
      <c r="G147" s="38">
        <v>123.75</v>
      </c>
      <c r="H147" s="39" t="s">
        <v>53</v>
      </c>
    </row>
    <row r="148" spans="1:8" ht="12.75">
      <c r="A148" s="11" t="s">
        <v>434</v>
      </c>
      <c r="B148" s="11"/>
      <c r="C148" s="11" t="s">
        <v>435</v>
      </c>
      <c r="D148" s="11" t="s">
        <v>436</v>
      </c>
      <c r="E148" s="11" t="s">
        <v>301</v>
      </c>
      <c r="F148" s="11" t="s">
        <v>437</v>
      </c>
      <c r="G148" s="38">
        <v>0.33</v>
      </c>
      <c r="H148" s="39" t="s">
        <v>53</v>
      </c>
    </row>
    <row r="149" spans="1:8" ht="12.75">
      <c r="A149" s="11" t="s">
        <v>440</v>
      </c>
      <c r="B149" s="11"/>
      <c r="C149" s="11" t="s">
        <v>441</v>
      </c>
      <c r="D149" s="11" t="s">
        <v>442</v>
      </c>
      <c r="E149" s="11" t="s">
        <v>81</v>
      </c>
      <c r="F149" s="11" t="s">
        <v>445</v>
      </c>
      <c r="G149" s="38">
        <v>235.43</v>
      </c>
      <c r="H149" s="39" t="s">
        <v>53</v>
      </c>
    </row>
    <row r="150" spans="1:8" ht="12.75">
      <c r="A150" s="11" t="s">
        <v>446</v>
      </c>
      <c r="B150" s="11"/>
      <c r="C150" s="11" t="s">
        <v>447</v>
      </c>
      <c r="D150" s="11" t="s">
        <v>448</v>
      </c>
      <c r="E150" s="11" t="s">
        <v>81</v>
      </c>
      <c r="F150" s="11" t="s">
        <v>449</v>
      </c>
      <c r="G150" s="38">
        <v>235.43</v>
      </c>
      <c r="H150" s="39" t="s">
        <v>53</v>
      </c>
    </row>
    <row r="151" spans="1:8" ht="12.75">
      <c r="A151" s="11" t="s">
        <v>452</v>
      </c>
      <c r="B151" s="11"/>
      <c r="C151" s="11" t="s">
        <v>453</v>
      </c>
      <c r="D151" s="11" t="s">
        <v>454</v>
      </c>
      <c r="E151" s="11" t="s">
        <v>455</v>
      </c>
      <c r="F151" s="11" t="s">
        <v>321</v>
      </c>
      <c r="G151" s="38">
        <v>50</v>
      </c>
      <c r="H151" s="39" t="s">
        <v>53</v>
      </c>
    </row>
    <row r="152" spans="1:8" ht="12.75">
      <c r="A152" s="11" t="s">
        <v>460</v>
      </c>
      <c r="B152" s="11"/>
      <c r="C152" s="11" t="s">
        <v>461</v>
      </c>
      <c r="D152" s="11" t="s">
        <v>462</v>
      </c>
      <c r="E152" s="11" t="s">
        <v>81</v>
      </c>
      <c r="F152" s="11" t="s">
        <v>464</v>
      </c>
      <c r="G152" s="38">
        <v>890.5</v>
      </c>
      <c r="H152" s="39" t="s">
        <v>53</v>
      </c>
    </row>
    <row r="153" spans="1:8" ht="12.75">
      <c r="A153" s="11" t="s">
        <v>465</v>
      </c>
      <c r="B153" s="11"/>
      <c r="C153" s="11" t="s">
        <v>466</v>
      </c>
      <c r="D153" s="11" t="s">
        <v>467</v>
      </c>
      <c r="E153" s="11" t="s">
        <v>81</v>
      </c>
      <c r="F153" s="11" t="s">
        <v>468</v>
      </c>
      <c r="G153" s="38">
        <v>890.5</v>
      </c>
      <c r="H153" s="39" t="s">
        <v>53</v>
      </c>
    </row>
    <row r="154" spans="1:8" ht="12.75">
      <c r="A154" s="11" t="s">
        <v>469</v>
      </c>
      <c r="B154" s="11"/>
      <c r="C154" s="11" t="s">
        <v>470</v>
      </c>
      <c r="D154" s="11" t="s">
        <v>471</v>
      </c>
      <c r="E154" s="11" t="s">
        <v>81</v>
      </c>
      <c r="F154" s="11" t="s">
        <v>468</v>
      </c>
      <c r="G154" s="38">
        <v>890.5</v>
      </c>
      <c r="H154" s="39" t="s">
        <v>53</v>
      </c>
    </row>
    <row r="155" spans="1:8" ht="12.75">
      <c r="A155" s="11" t="s">
        <v>472</v>
      </c>
      <c r="B155" s="11"/>
      <c r="C155" s="11" t="s">
        <v>473</v>
      </c>
      <c r="D155" s="11" t="s">
        <v>474</v>
      </c>
      <c r="E155" s="11" t="s">
        <v>81</v>
      </c>
      <c r="F155" s="11" t="s">
        <v>468</v>
      </c>
      <c r="G155" s="38">
        <v>890.5</v>
      </c>
      <c r="H155" s="39" t="s">
        <v>53</v>
      </c>
    </row>
    <row r="156" spans="1:8" ht="12.75">
      <c r="A156" s="11" t="s">
        <v>475</v>
      </c>
      <c r="B156" s="11"/>
      <c r="C156" s="11" t="s">
        <v>476</v>
      </c>
      <c r="D156" s="11" t="s">
        <v>477</v>
      </c>
      <c r="E156" s="11" t="s">
        <v>114</v>
      </c>
      <c r="F156" s="11" t="s">
        <v>62</v>
      </c>
      <c r="G156" s="38">
        <v>4</v>
      </c>
      <c r="H156" s="39" t="s">
        <v>53</v>
      </c>
    </row>
    <row r="157" spans="1:8" ht="12.75">
      <c r="A157" s="11" t="s">
        <v>478</v>
      </c>
      <c r="B157" s="11"/>
      <c r="C157" s="11" t="s">
        <v>479</v>
      </c>
      <c r="D157" s="11" t="s">
        <v>480</v>
      </c>
      <c r="E157" s="11" t="s">
        <v>114</v>
      </c>
      <c r="F157" s="11" t="s">
        <v>62</v>
      </c>
      <c r="G157" s="38">
        <v>4</v>
      </c>
      <c r="H157" s="39" t="s">
        <v>53</v>
      </c>
    </row>
    <row r="158" spans="1:8" ht="12.75">
      <c r="A158" s="11" t="s">
        <v>481</v>
      </c>
      <c r="B158" s="11"/>
      <c r="C158" s="11" t="s">
        <v>482</v>
      </c>
      <c r="D158" s="11" t="s">
        <v>483</v>
      </c>
      <c r="E158" s="11" t="s">
        <v>114</v>
      </c>
      <c r="F158" s="11" t="s">
        <v>62</v>
      </c>
      <c r="G158" s="38">
        <v>4</v>
      </c>
      <c r="H158" s="39" t="s">
        <v>53</v>
      </c>
    </row>
    <row r="159" spans="1:8" ht="12.75">
      <c r="A159" s="11" t="s">
        <v>87</v>
      </c>
      <c r="B159" s="11"/>
      <c r="C159" s="11" t="s">
        <v>484</v>
      </c>
      <c r="D159" s="11" t="s">
        <v>485</v>
      </c>
      <c r="E159" s="11" t="s">
        <v>301</v>
      </c>
      <c r="F159" s="11" t="s">
        <v>486</v>
      </c>
      <c r="G159" s="38">
        <v>17.26704</v>
      </c>
      <c r="H159" s="39" t="s">
        <v>53</v>
      </c>
    </row>
    <row r="160" spans="1:8" ht="12.75">
      <c r="A160" s="11" t="s">
        <v>489</v>
      </c>
      <c r="B160" s="11"/>
      <c r="C160" s="11" t="s">
        <v>490</v>
      </c>
      <c r="D160" s="11" t="s">
        <v>491</v>
      </c>
      <c r="E160" s="11" t="s">
        <v>81</v>
      </c>
      <c r="F160" s="11" t="s">
        <v>493</v>
      </c>
      <c r="G160" s="38">
        <v>260.36</v>
      </c>
      <c r="H160" s="39" t="s">
        <v>53</v>
      </c>
    </row>
    <row r="161" spans="1:8" ht="12.75">
      <c r="A161" s="11" t="s">
        <v>496</v>
      </c>
      <c r="B161" s="11"/>
      <c r="C161" s="11" t="s">
        <v>497</v>
      </c>
      <c r="D161" s="11" t="s">
        <v>498</v>
      </c>
      <c r="E161" s="11" t="s">
        <v>65</v>
      </c>
      <c r="F161" s="11" t="s">
        <v>500</v>
      </c>
      <c r="G161" s="38">
        <v>0.576</v>
      </c>
      <c r="H161" s="39" t="s">
        <v>53</v>
      </c>
    </row>
    <row r="162" spans="1:8" ht="12.75">
      <c r="A162" s="11" t="s">
        <v>501</v>
      </c>
      <c r="B162" s="11"/>
      <c r="C162" s="11" t="s">
        <v>502</v>
      </c>
      <c r="D162" s="11" t="s">
        <v>503</v>
      </c>
      <c r="E162" s="11" t="s">
        <v>81</v>
      </c>
      <c r="F162" s="11" t="s">
        <v>504</v>
      </c>
      <c r="G162" s="38">
        <v>4.2</v>
      </c>
      <c r="H162" s="39" t="s">
        <v>53</v>
      </c>
    </row>
    <row r="163" spans="1:8" ht="12.75">
      <c r="A163" s="11" t="s">
        <v>450</v>
      </c>
      <c r="B163" s="11"/>
      <c r="C163" s="11" t="s">
        <v>505</v>
      </c>
      <c r="D163" s="11" t="s">
        <v>506</v>
      </c>
      <c r="E163" s="11" t="s">
        <v>114</v>
      </c>
      <c r="F163" s="11" t="s">
        <v>507</v>
      </c>
      <c r="G163" s="38">
        <v>80.65</v>
      </c>
      <c r="H163" s="39" t="s">
        <v>53</v>
      </c>
    </row>
    <row r="164" spans="1:8" ht="12.75">
      <c r="A164" s="11" t="s">
        <v>508</v>
      </c>
      <c r="B164" s="11"/>
      <c r="C164" s="11" t="s">
        <v>509</v>
      </c>
      <c r="D164" s="11" t="s">
        <v>510</v>
      </c>
      <c r="E164" s="11" t="s">
        <v>65</v>
      </c>
      <c r="F164" s="11" t="s">
        <v>511</v>
      </c>
      <c r="G164" s="38">
        <v>0.392</v>
      </c>
      <c r="H164" s="39" t="s">
        <v>53</v>
      </c>
    </row>
    <row r="165" spans="1:8" ht="12.75">
      <c r="A165" s="11" t="s">
        <v>512</v>
      </c>
      <c r="B165" s="11"/>
      <c r="C165" s="11" t="s">
        <v>513</v>
      </c>
      <c r="D165" s="11" t="s">
        <v>514</v>
      </c>
      <c r="E165" s="11" t="s">
        <v>81</v>
      </c>
      <c r="G165" s="38">
        <v>5.4</v>
      </c>
      <c r="H165" s="39" t="s">
        <v>53</v>
      </c>
    </row>
    <row r="166" spans="6:7" ht="12.75">
      <c r="F166" s="11" t="s">
        <v>515</v>
      </c>
      <c r="G166" s="38">
        <v>1.8</v>
      </c>
    </row>
    <row r="167" spans="1:7" ht="12.75">
      <c r="A167" s="11"/>
      <c r="B167" s="11"/>
      <c r="C167" s="11"/>
      <c r="D167" s="11"/>
      <c r="E167" s="11"/>
      <c r="F167" s="11" t="s">
        <v>516</v>
      </c>
      <c r="G167" s="38">
        <v>3.6</v>
      </c>
    </row>
    <row r="168" spans="1:8" ht="12.75">
      <c r="A168" s="11" t="s">
        <v>517</v>
      </c>
      <c r="B168" s="11"/>
      <c r="C168" s="11" t="s">
        <v>518</v>
      </c>
      <c r="D168" s="11" t="s">
        <v>519</v>
      </c>
      <c r="E168" s="11" t="s">
        <v>81</v>
      </c>
      <c r="F168" s="11" t="s">
        <v>515</v>
      </c>
      <c r="G168" s="38">
        <v>1.8</v>
      </c>
      <c r="H168" s="39" t="s">
        <v>53</v>
      </c>
    </row>
    <row r="169" spans="1:8" ht="12.75">
      <c r="A169" s="11" t="s">
        <v>458</v>
      </c>
      <c r="B169" s="11"/>
      <c r="C169" s="11" t="s">
        <v>522</v>
      </c>
      <c r="D169" s="11" t="s">
        <v>523</v>
      </c>
      <c r="E169" s="11" t="s">
        <v>114</v>
      </c>
      <c r="F169" s="11" t="s">
        <v>525</v>
      </c>
      <c r="G169" s="38">
        <v>3.5</v>
      </c>
      <c r="H169" s="39" t="s">
        <v>53</v>
      </c>
    </row>
    <row r="170" spans="1:8" ht="12.75">
      <c r="A170" s="11" t="s">
        <v>487</v>
      </c>
      <c r="B170" s="11"/>
      <c r="C170" s="11" t="s">
        <v>526</v>
      </c>
      <c r="D170" s="11" t="s">
        <v>527</v>
      </c>
      <c r="E170" s="11" t="s">
        <v>81</v>
      </c>
      <c r="G170" s="38">
        <v>123.225</v>
      </c>
      <c r="H170" s="39" t="s">
        <v>53</v>
      </c>
    </row>
    <row r="171" spans="6:7" ht="12.75">
      <c r="F171" s="11" t="s">
        <v>528</v>
      </c>
      <c r="G171" s="38">
        <v>127.275</v>
      </c>
    </row>
    <row r="172" spans="1:7" ht="12.75">
      <c r="A172" s="11"/>
      <c r="B172" s="11"/>
      <c r="C172" s="11"/>
      <c r="D172" s="11"/>
      <c r="E172" s="11"/>
      <c r="F172" s="11" t="s">
        <v>529</v>
      </c>
      <c r="G172" s="38">
        <v>-6.3</v>
      </c>
    </row>
    <row r="173" spans="1:7" ht="12.75">
      <c r="A173" s="11"/>
      <c r="B173" s="11"/>
      <c r="C173" s="11"/>
      <c r="D173" s="11"/>
      <c r="E173" s="11"/>
      <c r="F173" s="11" t="s">
        <v>530</v>
      </c>
      <c r="G173" s="38">
        <v>2.25</v>
      </c>
    </row>
    <row r="174" spans="1:8" ht="12.75">
      <c r="A174" s="11" t="s">
        <v>494</v>
      </c>
      <c r="B174" s="11"/>
      <c r="C174" s="11" t="s">
        <v>533</v>
      </c>
      <c r="D174" s="11" t="s">
        <v>534</v>
      </c>
      <c r="E174" s="11" t="s">
        <v>301</v>
      </c>
      <c r="F174" s="11" t="s">
        <v>536</v>
      </c>
      <c r="G174" s="38">
        <v>36.63</v>
      </c>
      <c r="H174" s="39" t="s">
        <v>53</v>
      </c>
    </row>
    <row r="175" spans="1:8" ht="12.75">
      <c r="A175" s="11" t="s">
        <v>520</v>
      </c>
      <c r="B175" s="11"/>
      <c r="C175" s="11" t="s">
        <v>539</v>
      </c>
      <c r="D175" s="11" t="s">
        <v>540</v>
      </c>
      <c r="E175" s="11" t="s">
        <v>114</v>
      </c>
      <c r="F175" s="11" t="s">
        <v>542</v>
      </c>
      <c r="G175" s="38">
        <v>20.88</v>
      </c>
      <c r="H175" s="39" t="s">
        <v>53</v>
      </c>
    </row>
    <row r="176" spans="1:8" ht="12.75">
      <c r="A176" s="11" t="s">
        <v>543</v>
      </c>
      <c r="B176" s="11"/>
      <c r="C176" s="11" t="s">
        <v>544</v>
      </c>
      <c r="D176" s="11" t="s">
        <v>545</v>
      </c>
      <c r="E176" s="11" t="s">
        <v>114</v>
      </c>
      <c r="F176" s="11" t="s">
        <v>546</v>
      </c>
      <c r="G176" s="38">
        <v>20.88</v>
      </c>
      <c r="H176" s="39" t="s">
        <v>53</v>
      </c>
    </row>
    <row r="177" spans="1:8" ht="12.75">
      <c r="A177" s="11" t="s">
        <v>547</v>
      </c>
      <c r="B177" s="11"/>
      <c r="C177" s="11" t="s">
        <v>548</v>
      </c>
      <c r="D177" s="11" t="s">
        <v>549</v>
      </c>
      <c r="E177" s="11" t="s">
        <v>52</v>
      </c>
      <c r="F177" s="11" t="s">
        <v>49</v>
      </c>
      <c r="G177" s="38">
        <v>1</v>
      </c>
      <c r="H177" s="39" t="s">
        <v>53</v>
      </c>
    </row>
    <row r="178" spans="1:8" ht="12.75">
      <c r="A178" s="11" t="s">
        <v>552</v>
      </c>
      <c r="B178" s="11"/>
      <c r="C178" s="11" t="s">
        <v>553</v>
      </c>
      <c r="D178" s="11" t="s">
        <v>554</v>
      </c>
      <c r="E178" s="11" t="s">
        <v>301</v>
      </c>
      <c r="F178" s="11" t="s">
        <v>557</v>
      </c>
      <c r="G178" s="38">
        <v>16.61</v>
      </c>
      <c r="H178" s="39" t="s">
        <v>555</v>
      </c>
    </row>
    <row r="179" spans="1:8" ht="12.75">
      <c r="A179" s="11" t="s">
        <v>558</v>
      </c>
      <c r="B179" s="11"/>
      <c r="C179" s="11" t="s">
        <v>559</v>
      </c>
      <c r="D179" s="11" t="s">
        <v>560</v>
      </c>
      <c r="E179" s="11" t="s">
        <v>301</v>
      </c>
      <c r="F179" s="11" t="s">
        <v>561</v>
      </c>
      <c r="G179" s="38">
        <v>16.61</v>
      </c>
      <c r="H179" s="39" t="s">
        <v>53</v>
      </c>
    </row>
    <row r="180" spans="1:8" ht="12.75">
      <c r="A180" s="11" t="s">
        <v>562</v>
      </c>
      <c r="B180" s="11"/>
      <c r="C180" s="11" t="s">
        <v>563</v>
      </c>
      <c r="D180" s="11" t="s">
        <v>564</v>
      </c>
      <c r="E180" s="11" t="s">
        <v>301</v>
      </c>
      <c r="F180" s="11" t="s">
        <v>565</v>
      </c>
      <c r="G180" s="38">
        <v>66.44</v>
      </c>
      <c r="H180" s="39" t="s">
        <v>53</v>
      </c>
    </row>
    <row r="181" spans="1:8" ht="12.75">
      <c r="A181" s="11" t="s">
        <v>566</v>
      </c>
      <c r="B181" s="11"/>
      <c r="C181" s="11" t="s">
        <v>567</v>
      </c>
      <c r="D181" s="11" t="s">
        <v>568</v>
      </c>
      <c r="E181" s="11" t="s">
        <v>301</v>
      </c>
      <c r="F181" s="11" t="s">
        <v>561</v>
      </c>
      <c r="G181" s="38">
        <v>16.61</v>
      </c>
      <c r="H181" s="39" t="s">
        <v>53</v>
      </c>
    </row>
    <row r="182" spans="1:8" ht="12.75">
      <c r="A182" s="11" t="s">
        <v>569</v>
      </c>
      <c r="B182" s="11"/>
      <c r="C182" s="11" t="s">
        <v>570</v>
      </c>
      <c r="D182" s="11" t="s">
        <v>571</v>
      </c>
      <c r="E182" s="11" t="s">
        <v>301</v>
      </c>
      <c r="F182" s="11" t="s">
        <v>572</v>
      </c>
      <c r="G182" s="38">
        <v>697.62</v>
      </c>
      <c r="H182" s="39" t="s">
        <v>53</v>
      </c>
    </row>
    <row r="183" spans="1:8" ht="12.75">
      <c r="A183" s="11" t="s">
        <v>573</v>
      </c>
      <c r="B183" s="11"/>
      <c r="C183" s="11" t="s">
        <v>574</v>
      </c>
      <c r="D183" s="11" t="s">
        <v>575</v>
      </c>
      <c r="E183" s="11" t="s">
        <v>301</v>
      </c>
      <c r="F183" s="11" t="s">
        <v>561</v>
      </c>
      <c r="G183" s="38">
        <v>16.61</v>
      </c>
      <c r="H183" s="39" t="s">
        <v>53</v>
      </c>
    </row>
    <row r="184" spans="1:8" ht="12.75">
      <c r="A184" s="11" t="s">
        <v>576</v>
      </c>
      <c r="B184" s="11"/>
      <c r="C184" s="11" t="s">
        <v>577</v>
      </c>
      <c r="D184" s="11" t="s">
        <v>578</v>
      </c>
      <c r="E184" s="11" t="s">
        <v>301</v>
      </c>
      <c r="F184" s="11" t="s">
        <v>561</v>
      </c>
      <c r="G184" s="38">
        <v>16.61</v>
      </c>
      <c r="H184" s="39" t="s">
        <v>53</v>
      </c>
    </row>
    <row r="186" ht="11.25" customHeight="1">
      <c r="A186" s="52" t="s">
        <v>580</v>
      </c>
    </row>
  </sheetData>
  <sheetProtection selectLockedCells="1" selectUnlockedCells="1"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95" zoomScaleNormal="95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1" customWidth="1"/>
  </cols>
  <sheetData>
    <row r="1" spans="1:9" ht="72.75" customHeight="1">
      <c r="A1" s="64"/>
      <c r="B1" s="46"/>
      <c r="C1" s="65" t="s">
        <v>604</v>
      </c>
      <c r="D1" s="65"/>
      <c r="E1" s="65"/>
      <c r="F1" s="65"/>
      <c r="G1" s="65"/>
      <c r="H1" s="65"/>
      <c r="I1" s="65"/>
    </row>
    <row r="2" spans="1:10" ht="12.75" customHeight="1">
      <c r="A2" s="3" t="s">
        <v>1</v>
      </c>
      <c r="B2" s="3"/>
      <c r="C2" s="4">
        <f>'Stavební rozpočet'!D2</f>
        <v>0</v>
      </c>
      <c r="D2" s="4"/>
      <c r="E2" s="6" t="s">
        <v>5</v>
      </c>
      <c r="F2" s="6">
        <f>'Stavební rozpočet'!J2</f>
        <v>0</v>
      </c>
      <c r="G2" s="6"/>
      <c r="H2" s="6" t="s">
        <v>605</v>
      </c>
      <c r="I2" s="66"/>
      <c r="J2" s="8"/>
    </row>
    <row r="3" spans="1:10" ht="12.75">
      <c r="A3" s="3"/>
      <c r="B3" s="3"/>
      <c r="C3" s="4"/>
      <c r="D3" s="4"/>
      <c r="E3" s="6"/>
      <c r="F3" s="6"/>
      <c r="G3" s="6"/>
      <c r="H3" s="6"/>
      <c r="I3" s="66"/>
      <c r="J3" s="8"/>
    </row>
    <row r="4" spans="1:10" ht="12.75" customHeight="1">
      <c r="A4" s="9" t="s">
        <v>7</v>
      </c>
      <c r="B4" s="9"/>
      <c r="C4" s="10">
        <f>'Stavební rozpočet'!D4</f>
        <v>0</v>
      </c>
      <c r="D4" s="10"/>
      <c r="E4" s="10" t="s">
        <v>10</v>
      </c>
      <c r="F4" s="10">
        <f>'Stavební rozpočet'!J4</f>
        <v>0</v>
      </c>
      <c r="G4" s="10"/>
      <c r="H4" s="10" t="s">
        <v>605</v>
      </c>
      <c r="I4" s="67"/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67"/>
      <c r="J5" s="8"/>
    </row>
    <row r="6" spans="1:10" ht="12.75" customHeight="1">
      <c r="A6" s="9" t="s">
        <v>12</v>
      </c>
      <c r="B6" s="9"/>
      <c r="C6" s="10">
        <f>'Stavební rozpočet'!D6</f>
        <v>0</v>
      </c>
      <c r="D6" s="10"/>
      <c r="E6" s="10" t="s">
        <v>15</v>
      </c>
      <c r="F6" s="10">
        <f>'Stavební rozpočet'!J6</f>
        <v>0</v>
      </c>
      <c r="G6" s="10"/>
      <c r="H6" s="10" t="s">
        <v>605</v>
      </c>
      <c r="I6" s="67"/>
      <c r="J6" s="8"/>
    </row>
    <row r="7" spans="1:10" ht="12.75">
      <c r="A7" s="9"/>
      <c r="B7" s="9"/>
      <c r="C7" s="10"/>
      <c r="D7" s="10"/>
      <c r="E7" s="10"/>
      <c r="F7" s="10"/>
      <c r="G7" s="10"/>
      <c r="H7" s="10"/>
      <c r="I7" s="67"/>
      <c r="J7" s="8"/>
    </row>
    <row r="8" spans="1:10" ht="12.75" customHeight="1">
      <c r="A8" s="9" t="s">
        <v>9</v>
      </c>
      <c r="B8" s="9"/>
      <c r="C8" s="10">
        <f>'Stavební rozpočet'!G4</f>
        <v>0</v>
      </c>
      <c r="D8" s="10"/>
      <c r="E8" s="10" t="s">
        <v>14</v>
      </c>
      <c r="F8" s="10">
        <f>'Stavební rozpočet'!G6</f>
        <v>0</v>
      </c>
      <c r="G8" s="10"/>
      <c r="H8" s="11" t="s">
        <v>606</v>
      </c>
      <c r="I8" s="67" t="s">
        <v>576</v>
      </c>
      <c r="J8" s="8"/>
    </row>
    <row r="9" spans="1:10" ht="12.75">
      <c r="A9" s="9"/>
      <c r="B9" s="9"/>
      <c r="C9" s="10"/>
      <c r="D9" s="10"/>
      <c r="E9" s="10"/>
      <c r="F9" s="10"/>
      <c r="G9" s="10"/>
      <c r="H9" s="11"/>
      <c r="I9" s="67"/>
      <c r="J9" s="8"/>
    </row>
    <row r="10" spans="1:10" ht="12.75" customHeight="1">
      <c r="A10" s="68" t="s">
        <v>17</v>
      </c>
      <c r="B10" s="68"/>
      <c r="C10" s="69">
        <f>'Stavební rozpočet'!D8</f>
        <v>0</v>
      </c>
      <c r="D10" s="69"/>
      <c r="E10" s="69" t="s">
        <v>20</v>
      </c>
      <c r="F10" s="69">
        <f>'Stavební rozpočet'!J8</f>
        <v>0</v>
      </c>
      <c r="G10" s="69"/>
      <c r="H10" s="70" t="s">
        <v>607</v>
      </c>
      <c r="I10" s="71">
        <f>'Stavební rozpočet'!G8</f>
        <v>0</v>
      </c>
      <c r="J10" s="8"/>
    </row>
    <row r="11" spans="1:10" ht="12.75">
      <c r="A11" s="68"/>
      <c r="B11" s="68"/>
      <c r="C11" s="69"/>
      <c r="D11" s="69"/>
      <c r="E11" s="69"/>
      <c r="F11" s="69"/>
      <c r="G11" s="69"/>
      <c r="H11" s="70"/>
      <c r="I11" s="71"/>
      <c r="J11" s="8"/>
    </row>
    <row r="12" spans="1:9" ht="23.25" customHeight="1">
      <c r="A12" s="72" t="s">
        <v>608</v>
      </c>
      <c r="B12" s="72"/>
      <c r="C12" s="72"/>
      <c r="D12" s="72"/>
      <c r="E12" s="72"/>
      <c r="F12" s="72"/>
      <c r="G12" s="72"/>
      <c r="H12" s="72"/>
      <c r="I12" s="72"/>
    </row>
    <row r="13" spans="1:10" ht="26.25" customHeight="1">
      <c r="A13" s="73" t="s">
        <v>609</v>
      </c>
      <c r="B13" s="74" t="s">
        <v>610</v>
      </c>
      <c r="C13" s="74"/>
      <c r="D13" s="73" t="s">
        <v>611</v>
      </c>
      <c r="E13" s="74" t="s">
        <v>612</v>
      </c>
      <c r="F13" s="74"/>
      <c r="G13" s="73" t="s">
        <v>613</v>
      </c>
      <c r="H13" s="74" t="s">
        <v>614</v>
      </c>
      <c r="I13" s="74"/>
      <c r="J13" s="8"/>
    </row>
    <row r="14" spans="1:10" ht="15" customHeight="1">
      <c r="A14" s="75" t="s">
        <v>615</v>
      </c>
      <c r="B14" s="76" t="s">
        <v>616</v>
      </c>
      <c r="C14" s="77">
        <f>SUM('Stavební rozpočet'!R12:R295)</f>
        <v>0</v>
      </c>
      <c r="D14" s="76" t="s">
        <v>617</v>
      </c>
      <c r="E14" s="76"/>
      <c r="F14" s="77">
        <v>0</v>
      </c>
      <c r="G14" s="76" t="s">
        <v>618</v>
      </c>
      <c r="H14" s="76"/>
      <c r="I14" s="77">
        <v>0</v>
      </c>
      <c r="J14" s="8"/>
    </row>
    <row r="15" spans="1:10" ht="15" customHeight="1">
      <c r="A15" s="78"/>
      <c r="B15" s="76" t="s">
        <v>35</v>
      </c>
      <c r="C15" s="77">
        <f>SUM('Stavební rozpočet'!S12:S295)</f>
        <v>0</v>
      </c>
      <c r="D15" s="76" t="s">
        <v>619</v>
      </c>
      <c r="E15" s="76"/>
      <c r="F15" s="77">
        <v>0</v>
      </c>
      <c r="G15" s="76" t="s">
        <v>620</v>
      </c>
      <c r="H15" s="76"/>
      <c r="I15" s="77">
        <v>0</v>
      </c>
      <c r="J15" s="8"/>
    </row>
    <row r="16" spans="1:10" ht="15" customHeight="1">
      <c r="A16" s="75" t="s">
        <v>621</v>
      </c>
      <c r="B16" s="76" t="s">
        <v>616</v>
      </c>
      <c r="C16" s="77">
        <f>SUM('Stavební rozpočet'!T12:T295)</f>
        <v>0</v>
      </c>
      <c r="D16" s="76" t="s">
        <v>622</v>
      </c>
      <c r="E16" s="76"/>
      <c r="F16" s="77">
        <v>0</v>
      </c>
      <c r="G16" s="76" t="s">
        <v>623</v>
      </c>
      <c r="H16" s="76"/>
      <c r="I16" s="77">
        <v>0</v>
      </c>
      <c r="J16" s="8"/>
    </row>
    <row r="17" spans="1:10" ht="15" customHeight="1">
      <c r="A17" s="78"/>
      <c r="B17" s="76" t="s">
        <v>35</v>
      </c>
      <c r="C17" s="77">
        <f>SUM('Stavební rozpočet'!U12:U295)</f>
        <v>0</v>
      </c>
      <c r="D17" s="76"/>
      <c r="E17" s="76"/>
      <c r="F17" s="79"/>
      <c r="G17" s="76" t="s">
        <v>624</v>
      </c>
      <c r="H17" s="76"/>
      <c r="I17" s="77">
        <v>0</v>
      </c>
      <c r="J17" s="8"/>
    </row>
    <row r="18" spans="1:10" ht="15" customHeight="1">
      <c r="A18" s="75" t="s">
        <v>625</v>
      </c>
      <c r="B18" s="76" t="s">
        <v>616</v>
      </c>
      <c r="C18" s="77">
        <f>SUM('Stavební rozpočet'!V12:V295)</f>
        <v>0</v>
      </c>
      <c r="D18" s="76"/>
      <c r="E18" s="76"/>
      <c r="F18" s="79"/>
      <c r="G18" s="76" t="s">
        <v>626</v>
      </c>
      <c r="H18" s="76"/>
      <c r="I18" s="77">
        <v>0</v>
      </c>
      <c r="J18" s="8"/>
    </row>
    <row r="19" spans="1:10" ht="15" customHeight="1">
      <c r="A19" s="78"/>
      <c r="B19" s="76" t="s">
        <v>35</v>
      </c>
      <c r="C19" s="77">
        <f>SUM('Stavební rozpočet'!W12:W295)</f>
        <v>0</v>
      </c>
      <c r="D19" s="76"/>
      <c r="E19" s="76"/>
      <c r="F19" s="79"/>
      <c r="G19" s="76" t="s">
        <v>627</v>
      </c>
      <c r="H19" s="76"/>
      <c r="I19" s="77">
        <v>0</v>
      </c>
      <c r="J19" s="8"/>
    </row>
    <row r="20" spans="1:10" ht="15" customHeight="1">
      <c r="A20" s="80" t="s">
        <v>628</v>
      </c>
      <c r="B20" s="80"/>
      <c r="C20" s="77">
        <f>SUM('Stavební rozpočet'!X12:X295)</f>
        <v>0</v>
      </c>
      <c r="D20" s="76"/>
      <c r="E20" s="76"/>
      <c r="F20" s="79"/>
      <c r="G20" s="76"/>
      <c r="H20" s="76"/>
      <c r="I20" s="79"/>
      <c r="J20" s="8"/>
    </row>
    <row r="21" spans="1:10" ht="15" customHeight="1">
      <c r="A21" s="80" t="s">
        <v>629</v>
      </c>
      <c r="B21" s="80"/>
      <c r="C21" s="77">
        <f>SUM('Stavební rozpočet'!P12:P295)</f>
        <v>0</v>
      </c>
      <c r="D21" s="76"/>
      <c r="E21" s="76"/>
      <c r="F21" s="79"/>
      <c r="G21" s="76"/>
      <c r="H21" s="76"/>
      <c r="I21" s="79"/>
      <c r="J21" s="8"/>
    </row>
    <row r="22" spans="1:10" ht="16.5" customHeight="1">
      <c r="A22" s="80" t="s">
        <v>630</v>
      </c>
      <c r="B22" s="80"/>
      <c r="C22" s="77">
        <f>ROUND(SUM(C14:C21),0)</f>
        <v>0</v>
      </c>
      <c r="D22" s="80" t="s">
        <v>631</v>
      </c>
      <c r="E22" s="80"/>
      <c r="F22" s="77">
        <f>SUM(F14:F21)</f>
        <v>0</v>
      </c>
      <c r="G22" s="80" t="s">
        <v>632</v>
      </c>
      <c r="H22" s="80"/>
      <c r="I22" s="77">
        <f>SUM(I14:I21)</f>
        <v>0</v>
      </c>
      <c r="J22" s="8"/>
    </row>
    <row r="23" spans="1:10" ht="15" customHeight="1">
      <c r="A23" s="49"/>
      <c r="B23" s="49"/>
      <c r="C23" s="81"/>
      <c r="D23" s="80" t="s">
        <v>633</v>
      </c>
      <c r="E23" s="80"/>
      <c r="F23" s="82">
        <v>0</v>
      </c>
      <c r="G23" s="80" t="s">
        <v>634</v>
      </c>
      <c r="H23" s="80"/>
      <c r="I23" s="77">
        <v>0</v>
      </c>
      <c r="J23" s="8"/>
    </row>
    <row r="24" spans="4:9" ht="15" customHeight="1">
      <c r="D24" s="49"/>
      <c r="E24" s="49"/>
      <c r="F24" s="83"/>
      <c r="G24" s="80" t="s">
        <v>635</v>
      </c>
      <c r="H24" s="80"/>
      <c r="I24" s="84"/>
    </row>
    <row r="25" spans="6:10" ht="15" customHeight="1">
      <c r="F25" s="85"/>
      <c r="G25" s="80" t="s">
        <v>636</v>
      </c>
      <c r="H25" s="80"/>
      <c r="I25" s="77">
        <v>0</v>
      </c>
      <c r="J25" s="8"/>
    </row>
    <row r="26" spans="1:9" ht="12.75">
      <c r="A26" s="46"/>
      <c r="B26" s="46"/>
      <c r="C26" s="46"/>
      <c r="G26" s="49"/>
      <c r="H26" s="49"/>
      <c r="I26" s="49"/>
    </row>
    <row r="27" spans="1:9" ht="15" customHeight="1">
      <c r="A27" s="86" t="s">
        <v>637</v>
      </c>
      <c r="B27" s="86"/>
      <c r="C27" s="87">
        <f>ROUND(SUM('Stavební rozpočet'!Z12:Z295),0)</f>
        <v>0</v>
      </c>
      <c r="D27" s="88"/>
      <c r="E27" s="46"/>
      <c r="F27" s="46"/>
      <c r="G27" s="46"/>
      <c r="H27" s="46"/>
      <c r="I27" s="46"/>
    </row>
    <row r="28" spans="1:10" ht="15" customHeight="1">
      <c r="A28" s="86" t="s">
        <v>638</v>
      </c>
      <c r="B28" s="86"/>
      <c r="C28" s="87">
        <f>ROUND(SUM('Stavební rozpočet'!AA12:AA295)+(F22+I22+F23+I23+I24+I25),0)</f>
        <v>0</v>
      </c>
      <c r="D28" s="86" t="s">
        <v>639</v>
      </c>
      <c r="E28" s="86"/>
      <c r="F28" s="87">
        <f>ROUND(C28*(15/100),2)</f>
        <v>0</v>
      </c>
      <c r="G28" s="86" t="s">
        <v>640</v>
      </c>
      <c r="H28" s="86"/>
      <c r="I28" s="87">
        <f>ROUND(SUM(C27:C29),0)</f>
        <v>0</v>
      </c>
      <c r="J28" s="8"/>
    </row>
    <row r="29" spans="1:10" ht="15" customHeight="1">
      <c r="A29" s="86" t="s">
        <v>641</v>
      </c>
      <c r="B29" s="86"/>
      <c r="C29" s="87">
        <f>ROUND(SUM('Stavební rozpočet'!AB12:AB295),0)</f>
        <v>0</v>
      </c>
      <c r="D29" s="86" t="s">
        <v>642</v>
      </c>
      <c r="E29" s="86"/>
      <c r="F29" s="87">
        <f>ROUND(C29*(21/100),2)</f>
        <v>0</v>
      </c>
      <c r="G29" s="86" t="s">
        <v>643</v>
      </c>
      <c r="H29" s="86"/>
      <c r="I29" s="87">
        <f>ROUND(SUM(F28:F29)+I28,0)</f>
        <v>0</v>
      </c>
      <c r="J29" s="8"/>
    </row>
    <row r="30" spans="1:9" ht="12.75">
      <c r="A30" s="89"/>
      <c r="B30" s="89"/>
      <c r="C30" s="89"/>
      <c r="D30" s="89"/>
      <c r="E30" s="89"/>
      <c r="F30" s="89"/>
      <c r="G30" s="89"/>
      <c r="H30" s="89"/>
      <c r="I30" s="89"/>
    </row>
    <row r="31" spans="1:10" ht="14.25" customHeight="1">
      <c r="A31" s="90" t="s">
        <v>644</v>
      </c>
      <c r="B31" s="90"/>
      <c r="C31" s="90"/>
      <c r="D31" s="90" t="s">
        <v>645</v>
      </c>
      <c r="E31" s="90"/>
      <c r="F31" s="90"/>
      <c r="G31" s="90" t="s">
        <v>646</v>
      </c>
      <c r="H31" s="90"/>
      <c r="I31" s="90"/>
      <c r="J31" s="23"/>
    </row>
    <row r="32" spans="1:10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23"/>
    </row>
    <row r="33" spans="1:10" ht="14.25" customHeight="1">
      <c r="A33" s="91"/>
      <c r="B33" s="91"/>
      <c r="C33" s="91"/>
      <c r="D33" s="91"/>
      <c r="E33" s="91"/>
      <c r="F33" s="91"/>
      <c r="G33" s="91"/>
      <c r="H33" s="91"/>
      <c r="I33" s="91"/>
      <c r="J33" s="23"/>
    </row>
    <row r="34" spans="1:10" ht="14.25" customHeight="1">
      <c r="A34" s="91"/>
      <c r="B34" s="91"/>
      <c r="C34" s="91"/>
      <c r="D34" s="91"/>
      <c r="E34" s="91"/>
      <c r="F34" s="91"/>
      <c r="G34" s="91"/>
      <c r="H34" s="91"/>
      <c r="I34" s="91"/>
      <c r="J34" s="23"/>
    </row>
    <row r="35" spans="1:10" ht="14.25" customHeight="1">
      <c r="A35" s="92" t="s">
        <v>647</v>
      </c>
      <c r="B35" s="92"/>
      <c r="C35" s="92"/>
      <c r="D35" s="92" t="s">
        <v>647</v>
      </c>
      <c r="E35" s="92"/>
      <c r="F35" s="92"/>
      <c r="G35" s="92" t="s">
        <v>647</v>
      </c>
      <c r="H35" s="92"/>
      <c r="I35" s="92"/>
      <c r="J35" s="23"/>
    </row>
    <row r="36" spans="1:9" ht="11.25" customHeight="1">
      <c r="A36" s="93" t="s">
        <v>580</v>
      </c>
      <c r="B36" s="94"/>
      <c r="C36" s="94"/>
      <c r="D36" s="94"/>
      <c r="E36" s="94"/>
      <c r="F36" s="94"/>
      <c r="G36" s="94"/>
      <c r="H36" s="94"/>
      <c r="I36" s="94"/>
    </row>
  </sheetData>
  <sheetProtection selectLockedCells="1" selectUnlockedCells="1"/>
  <mergeCells count="82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rintOptions/>
  <pageMargins left="0.9840277777777777" right="0.39375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2018-06-19T14:09:08Z</cp:lastPrinted>
  <dcterms:modified xsi:type="dcterms:W3CDTF">2018-06-19T13:35:40Z</dcterms:modified>
  <cp:category/>
  <cp:version/>
  <cp:contentType/>
  <cp:contentStatus/>
  <cp:revision>2</cp:revision>
</cp:coreProperties>
</file>