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<sst xmlns="http://schemas.openxmlformats.org/spreadsheetml/2006/main" count="1506" uniqueCount="653">
  <si>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</si>
  <si>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</si>
  <si>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</si>
  <si>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</si>
  <si>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</si>
  <si>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</si>
  <si>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</si>
  <si>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</si>
  <si>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</si>
  <si>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</si>
  <si>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</si>
  <si>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</si>
  <si>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</si>
  <si>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</si>
  <si>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</si>
  <si>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</si>
  <si>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</si>
  <si>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</si>
  <si>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</si>
  <si>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</si>
  <si>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</si>
  <si>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</si>
  <si>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</si>
  <si>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</si>
  <si>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</si>
  <si>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</si>
  <si>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</si>
  <si>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</si>
  <si>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</si>
  <si>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</si>
  <si>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</si>
  <si>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</si>
  <si>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</si>
  <si>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</si>
  <si>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</si>
  <si>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</si>
  <si>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</si>
  <si>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</si>
  <si>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</si>
  <si>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</si>
  <si>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</si>
  <si>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</si>
  <si>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</si>
  <si>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</si>
  <si>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</si>
  <si>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</si>
  <si>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</si>
  <si>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</si>
  <si>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</si>
  <si>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</si>
  <si>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</si>
  <si>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</si>
  <si>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</si>
  <si>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</si>
  <si>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</si>
  <si>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</si>
  <si>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</si>
  <si>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</si>
  <si>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</si>
  <si>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</si>
  <si>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</si>
  <si>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</si>
  <si>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</si>
  <si>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</si>
  <si>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</si>
  <si>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</si>
  <si>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</si>
  <si>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</si>
  <si>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</si>
  <si>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</si>
  <si>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</si>
  <si>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</si>
  <si>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</si>
  <si>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</si>
  <si>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</si>
  <si>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</si>
  <si>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</si>
  <si>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</si>
  <si>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</si>
  <si>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</si>
  <si>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</si>
  <si>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</si>
  <si>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</si>
  <si>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</si>
  <si>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</si>
  <si>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</si>
  <si>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</si>
  <si>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</si>
  <si>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</si>
  <si>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</si>
  <si>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</si>
  <si>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</si>
  <si>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</si>
  <si>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</si>
  <si>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</si>
  <si>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</si>
  <si>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</si>
  <si>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</si>
  <si>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</si>
  <si>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</si>
  <si>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</si>
  <si>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</si>
  <si>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</si>
  <si>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</si>
  <si>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</si>
  <si>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</si>
  <si>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</si>
  <si>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</si>
  <si>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</si>
  <si>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</si>
  <si>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</si>
  <si>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</si>
  <si>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</si>
  <si>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</si>
  <si>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</si>
  <si>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</si>
  <si>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Poznámka:</t>
  </si>
  <si>
    <t>Objekt</t>
  </si>
  <si>
    <t>Kód</t>
  </si>
  <si>
    <t>317941123RT4</t>
  </si>
  <si>
    <t>317234410RT2</t>
  </si>
  <si>
    <t>311231118R00</t>
  </si>
  <si>
    <t>342012222R00</t>
  </si>
  <si>
    <t>413232221R00</t>
  </si>
  <si>
    <t>416021124R00</t>
  </si>
  <si>
    <t>435125001R-02</t>
  </si>
  <si>
    <t>601021147R00</t>
  </si>
  <si>
    <t>612421637R00</t>
  </si>
  <si>
    <t>612425931R00</t>
  </si>
  <si>
    <t>622421143R00</t>
  </si>
  <si>
    <t>622412213R00</t>
  </si>
  <si>
    <t>620991121R00</t>
  </si>
  <si>
    <t>631312621R00</t>
  </si>
  <si>
    <t>631361821R00</t>
  </si>
  <si>
    <t>631361921RT5</t>
  </si>
  <si>
    <t>631319171R00</t>
  </si>
  <si>
    <t>631313711R00</t>
  </si>
  <si>
    <t>631319173R00</t>
  </si>
  <si>
    <t>712</t>
  </si>
  <si>
    <t>712691687R00</t>
  </si>
  <si>
    <t>62822021</t>
  </si>
  <si>
    <t>712641559R00</t>
  </si>
  <si>
    <t>62852258</t>
  </si>
  <si>
    <t>712600832R00</t>
  </si>
  <si>
    <t>998712102R00</t>
  </si>
  <si>
    <t>713</t>
  </si>
  <si>
    <t>713111273R-01</t>
  </si>
  <si>
    <t>713191100RT9</t>
  </si>
  <si>
    <t>713111111RT1</t>
  </si>
  <si>
    <t>28375769.A</t>
  </si>
  <si>
    <t>713111123R00</t>
  </si>
  <si>
    <t>63151406</t>
  </si>
  <si>
    <t>63151401</t>
  </si>
  <si>
    <t>998713102R00</t>
  </si>
  <si>
    <t>731</t>
  </si>
  <si>
    <t>731119614R-05</t>
  </si>
  <si>
    <t>762</t>
  </si>
  <si>
    <t>762811811R00</t>
  </si>
  <si>
    <t>762341811R00</t>
  </si>
  <si>
    <t>762342205RT4</t>
  </si>
  <si>
    <t>762341320R00</t>
  </si>
  <si>
    <t>60726121</t>
  </si>
  <si>
    <t>59660218</t>
  </si>
  <si>
    <t>765331864R00</t>
  </si>
  <si>
    <t>216904391R00</t>
  </si>
  <si>
    <t>998762102R00</t>
  </si>
  <si>
    <t>764</t>
  </si>
  <si>
    <t>764554403R00</t>
  </si>
  <si>
    <t>764223430R00</t>
  </si>
  <si>
    <t>764252403R00</t>
  </si>
  <si>
    <t>764291420R00</t>
  </si>
  <si>
    <t>764293420R00</t>
  </si>
  <si>
    <t>764231440R00</t>
  </si>
  <si>
    <t>764259616RT1</t>
  </si>
  <si>
    <t>764510420RT2</t>
  </si>
  <si>
    <t>998764102R00</t>
  </si>
  <si>
    <t>766</t>
  </si>
  <si>
    <t>766690010RA0</t>
  </si>
  <si>
    <t>766629302R00</t>
  </si>
  <si>
    <t>61143186</t>
  </si>
  <si>
    <t>766629301R00</t>
  </si>
  <si>
    <t>61143172</t>
  </si>
  <si>
    <t>61143180</t>
  </si>
  <si>
    <t>61143181</t>
  </si>
  <si>
    <t>61143184</t>
  </si>
  <si>
    <t>766628322R00</t>
  </si>
  <si>
    <t>61110304</t>
  </si>
  <si>
    <t>766670011R00</t>
  </si>
  <si>
    <t>61181503</t>
  </si>
  <si>
    <t>61165413</t>
  </si>
  <si>
    <t>642945111R00</t>
  </si>
  <si>
    <t>55345502</t>
  </si>
  <si>
    <t>55345503</t>
  </si>
  <si>
    <t>998766102R00</t>
  </si>
  <si>
    <t>776</t>
  </si>
  <si>
    <t>776101115R00</t>
  </si>
  <si>
    <t>776101121R00</t>
  </si>
  <si>
    <t>776421100RU1</t>
  </si>
  <si>
    <t>776521200RV1</t>
  </si>
  <si>
    <t>998776102R00</t>
  </si>
  <si>
    <t>783</t>
  </si>
  <si>
    <t>783782221R00</t>
  </si>
  <si>
    <t>784</t>
  </si>
  <si>
    <t>784161101R00</t>
  </si>
  <si>
    <t>784165212R00</t>
  </si>
  <si>
    <t>900      RT5</t>
  </si>
  <si>
    <t>900      R02</t>
  </si>
  <si>
    <t>941941041R00</t>
  </si>
  <si>
    <t>941941291R00</t>
  </si>
  <si>
    <t>941941841R00</t>
  </si>
  <si>
    <t>998009101R00</t>
  </si>
  <si>
    <t>941955002R00</t>
  </si>
  <si>
    <t>962031124R00</t>
  </si>
  <si>
    <t>962081131R00</t>
  </si>
  <si>
    <t>968061112R00</t>
  </si>
  <si>
    <t>968061125R00</t>
  </si>
  <si>
    <t>968062355R00</t>
  </si>
  <si>
    <t>968062245R00</t>
  </si>
  <si>
    <t>968072455R00</t>
  </si>
  <si>
    <t>967031132R00</t>
  </si>
  <si>
    <t>971033691R00</t>
  </si>
  <si>
    <t>974031666R00</t>
  </si>
  <si>
    <t>973031325R00</t>
  </si>
  <si>
    <t>978012191R00</t>
  </si>
  <si>
    <t>978013191R00</t>
  </si>
  <si>
    <t>978015291R00</t>
  </si>
  <si>
    <t>H99</t>
  </si>
  <si>
    <t>999281108R00</t>
  </si>
  <si>
    <t>M21</t>
  </si>
  <si>
    <t>210010001R-06</t>
  </si>
  <si>
    <t>S</t>
  </si>
  <si>
    <t>979082111R00</t>
  </si>
  <si>
    <t>979082121R00</t>
  </si>
  <si>
    <t>979083117R00</t>
  </si>
  <si>
    <t>979083191R00</t>
  </si>
  <si>
    <t>979086112R00</t>
  </si>
  <si>
    <t>979990103R00</t>
  </si>
  <si>
    <t>979990161R00</t>
  </si>
  <si>
    <t>979990121R00</t>
  </si>
  <si>
    <t>STAVEBNÍ ÚPRAVY NA ČÁSTI BUDOVY</t>
  </si>
  <si>
    <t>ARCHIV</t>
  </si>
  <si>
    <t>RUMBURK TŘ.9.KVĚTNA Č.P.1051</t>
  </si>
  <si>
    <t>Zkrácený popis</t>
  </si>
  <si>
    <t>Rozměry</t>
  </si>
  <si>
    <t>Zdi podpěrné a volné</t>
  </si>
  <si>
    <t>Osazení ocelových válcovaných nosníků  č.14-22</t>
  </si>
  <si>
    <t>0,18920   včetně dodávky, překlad nade dveřmi</t>
  </si>
  <si>
    <t>Vyzdívka mezi nosníky cihlami pálenými na MC</t>
  </si>
  <si>
    <t>1,5*0,3*0,45</t>
  </si>
  <si>
    <t>Osazení ocelových válcovaných nosníků  č.14-22 ve stropech</t>
  </si>
  <si>
    <t>1566,72*0,001   1.n.p.včetně dodávky HEB 180</t>
  </si>
  <si>
    <t>(791,04+185,86+182,27+87,04+81,92)*0,001</t>
  </si>
  <si>
    <t>(522,24+3494,4+2465,28+170,5+76,80)*0,001   2.n.p. včetně dodávky HEB 180</t>
  </si>
  <si>
    <t>Zdivo nosné cihelné z CP 29 P15 na MC 15</t>
  </si>
  <si>
    <t>0,65*1,5*0,5   1.n.p.dozdívky oken</t>
  </si>
  <si>
    <t>0,485*1,5*0,5</t>
  </si>
  <si>
    <t>0,45*1,5*0,5</t>
  </si>
  <si>
    <t>0,115*1,5*0,5+0,12*1,5*0,5</t>
  </si>
  <si>
    <t>0,22*1,5*0,55</t>
  </si>
  <si>
    <t>1*2*0,45   2.n.p.</t>
  </si>
  <si>
    <t>0,5*1,5*0,45</t>
  </si>
  <si>
    <t>Stěny a příčky</t>
  </si>
  <si>
    <t>Příčka SDK tl.100 mm,ocel.kce,1x oplášť.,RF 12,5mm</t>
  </si>
  <si>
    <t>(3+3+3+5,49+2+3,25+3,405*5)*3,06   1.n.p.</t>
  </si>
  <si>
    <t>-(5*1,8+0,8*0,55*11)   odpočet otvorů</t>
  </si>
  <si>
    <t>(5,525+5,52+5,52+5,52+3,25*3)*2,7   2.n.p.</t>
  </si>
  <si>
    <t>-(4*1,8*8*0,8*0,55)   odpočet otvorů</t>
  </si>
  <si>
    <t>(5,5+5,5+3,75)*4,51   nad garážemi</t>
  </si>
  <si>
    <t>-(1,8*2+4*0,8*0,55)   odpočet otvorů</t>
  </si>
  <si>
    <t>Stropy a stropní konstrukce (pro pozemní stavby)</t>
  </si>
  <si>
    <t>Zazdívka zhlaví válcovaných nosníků výšky do 20cm</t>
  </si>
  <si>
    <t>22   1.n.p stropní konstrukce</t>
  </si>
  <si>
    <t>50   2.n.p.</t>
  </si>
  <si>
    <t>Podhledy SDK, kovová.kce CD. 1x deska RFI 12,5 mm</t>
  </si>
  <si>
    <t>91,42   1.n.p.včetně parozábrany</t>
  </si>
  <si>
    <t>22,39*4,85   2.n.p.</t>
  </si>
  <si>
    <t>11,10*5,6   šikmý( nad garážemi)</t>
  </si>
  <si>
    <t>Schodiště</t>
  </si>
  <si>
    <t>Montáž a dodávka schodiště dle PD</t>
  </si>
  <si>
    <t>1   včetně zábradlí</t>
  </si>
  <si>
    <t>Omítky ze suchých směsí</t>
  </si>
  <si>
    <t>Stěrka vyrovnávací pod zhlaví I nosičů v kapsách, ručně</t>
  </si>
  <si>
    <t>22+50   tl.30mm</t>
  </si>
  <si>
    <t>Úprava povrchů vnitřní</t>
  </si>
  <si>
    <t>Omítka vnitřní zdiva, MVC, štuková</t>
  </si>
  <si>
    <t>408,733   1.+2.n.p.</t>
  </si>
  <si>
    <t>Omítka vápenná vnitřního a venkovního  ostění - štuková</t>
  </si>
  <si>
    <t>(1,5+1,5+1,5)*14*0,5</t>
  </si>
  <si>
    <t>(1+1,5+1,5)*0,5</t>
  </si>
  <si>
    <t>(0,85*3)*0,5</t>
  </si>
  <si>
    <t>(0,9*3)*0,5</t>
  </si>
  <si>
    <t>Úprava povrchů vnější</t>
  </si>
  <si>
    <t>Omítka vnější stěn, MVC, štuková, složitost 1-2</t>
  </si>
  <si>
    <t>149,975   čelní stěna</t>
  </si>
  <si>
    <t>Nátěr stěn vnějších, slož.1-2, BASF, silikonový</t>
  </si>
  <si>
    <t>149,975+18,625   včetně ostění</t>
  </si>
  <si>
    <t>Zakrývání výplní vnějších otvorů z lešení</t>
  </si>
  <si>
    <t>14*1,5*1,5</t>
  </si>
  <si>
    <t>1,666*0,85</t>
  </si>
  <si>
    <t>0,85*0,85</t>
  </si>
  <si>
    <t>0,9*0,9</t>
  </si>
  <si>
    <t>1*1,51</t>
  </si>
  <si>
    <t>Podlahy a podlahové konstrukce</t>
  </si>
  <si>
    <t>Mazanina betonová tl. 5 - 8 cm C 20/25 roznášecí</t>
  </si>
  <si>
    <t>14,7+4,75*0,065   1.n.p.</t>
  </si>
  <si>
    <t>33,94*4,85*0,065   2.n.p.</t>
  </si>
  <si>
    <t>Výztuž mazanin z betonářské oceli 10 505(R)</t>
  </si>
  <si>
    <t>1,08691   včetně dodávky-dle PD</t>
  </si>
  <si>
    <t>Výztuž mazanin svařovanou sítí 150x150x6</t>
  </si>
  <si>
    <t>0,77568   včetně dodávky-dle PD</t>
  </si>
  <si>
    <t>Příplatek za stržení povrchu mazaniny tl. 8 cm</t>
  </si>
  <si>
    <t>25,708</t>
  </si>
  <si>
    <t>Mazanina betonová tl. 8 - 12 cm C 25/30</t>
  </si>
  <si>
    <t>33,94*4,85*0,12*2   1. a 2.n.p.</t>
  </si>
  <si>
    <t>Příplatek za stržení povrchu mazaniny tl. 12 cm</t>
  </si>
  <si>
    <t>39,506</t>
  </si>
  <si>
    <t>Izolace střech (živičné krytiny)</t>
  </si>
  <si>
    <t>Přibití asfaltových pásů hřebíky podkladní vrstva</t>
  </si>
  <si>
    <t>221,618</t>
  </si>
  <si>
    <t>Pás podkladní Armourbase Pro   1 x 30 m</t>
  </si>
  <si>
    <t>221,618   s přesahy</t>
  </si>
  <si>
    <t>;ztratné 15%; 33,2427</t>
  </si>
  <si>
    <t>Povlaková krytina střech 45°, pásy přitavením</t>
  </si>
  <si>
    <t>Pás modifikovaný asfalt Pluvitek bohemia special dekor</t>
  </si>
  <si>
    <t>221,618   včetně přesahů</t>
  </si>
  <si>
    <t>Odstranění živič.krytiny střech nad 30° 2vrstvé</t>
  </si>
  <si>
    <t>Přesun hmot pro povlakové krytiny, výšky do 12 m</t>
  </si>
  <si>
    <t>1,594</t>
  </si>
  <si>
    <t>Izolace tepelné</t>
  </si>
  <si>
    <t>Utěsnění styku s jinou konstr. polystyren tl.20mm</t>
  </si>
  <si>
    <t>22+50   styk nosič a stěna kapsy,včetně polystyrenu tl.20mm</t>
  </si>
  <si>
    <t>Položení separační fólie</t>
  </si>
  <si>
    <t>(20*4,82+33,94*4,85)*2</t>
  </si>
  <si>
    <t>Izolace tepelné stropů vrchem kladené volně</t>
  </si>
  <si>
    <t>250,84</t>
  </si>
  <si>
    <t>Deska izolační polystyrén samozhášivý EPS 200</t>
  </si>
  <si>
    <t>250,84*0,060</t>
  </si>
  <si>
    <t>;ztratné 4%; 0,602016</t>
  </si>
  <si>
    <t>Izolace tepelné stropů rovných spodem  do SDK konstrukcí</t>
  </si>
  <si>
    <t>108,591+62,16   2.n.p. tl.250mm, složeno 2x100 mm +1x50mm</t>
  </si>
  <si>
    <t>Deska z minerální plsti ISOVER UNI tl. 100 mm</t>
  </si>
  <si>
    <t>2*(108,591+62,16)</t>
  </si>
  <si>
    <t>;ztratné 4%; 13,66008</t>
  </si>
  <si>
    <t>Deska z minerální plsti ISOVER UNI tl. 50 mm</t>
  </si>
  <si>
    <t>108,591+62,16</t>
  </si>
  <si>
    <t>;ztratné 4%; 6,83004</t>
  </si>
  <si>
    <t>Přesun hmot pro izolace tepelné, výšky do 12 m</t>
  </si>
  <si>
    <t>2,315</t>
  </si>
  <si>
    <t>Kotelny</t>
  </si>
  <si>
    <t>Vytápění dle rozpisu</t>
  </si>
  <si>
    <t>Konstrukce tesařské</t>
  </si>
  <si>
    <t>Demontáž záklopů z hrubých prken tl. do 3,2 cm</t>
  </si>
  <si>
    <t>108,591   strop 2.n.p.</t>
  </si>
  <si>
    <t>Demontáž bednění střech rovných z prken hrubých</t>
  </si>
  <si>
    <t>22,39*6,2   střecha</t>
  </si>
  <si>
    <t>12*6,9</t>
  </si>
  <si>
    <t>Montáž kontralatí na vruty, s těsnicí pěnou</t>
  </si>
  <si>
    <t>221,618   včetně impregnovaných latí 6x4</t>
  </si>
  <si>
    <t>M.bedn.střech z desek šroubováním-OSB</t>
  </si>
  <si>
    <t>Deska dřevoštěpková OSB 3 B - 4PD tl. 18 mm</t>
  </si>
  <si>
    <t>;ztratné 6%; 13,29708</t>
  </si>
  <si>
    <t>Fólie hydroiz difúzní DELTA PVG na bednění</t>
  </si>
  <si>
    <t>;ztratné 10%; 22,1618</t>
  </si>
  <si>
    <t>Větrací pás okapní šířky 100 mm</t>
  </si>
  <si>
    <t>39,50*2   u hřebene a u okapu</t>
  </si>
  <si>
    <t>Příplatek za ruční dočištění ocelovými kartáči krokve</t>
  </si>
  <si>
    <t>36*6,8*(0,1+0,1+0,14+0,14)</t>
  </si>
  <si>
    <t>Přesun hmot pro tesařské konstrukce, výšky do 12 m</t>
  </si>
  <si>
    <t>3,53</t>
  </si>
  <si>
    <t>Konstrukce klempířské</t>
  </si>
  <si>
    <t>Odpadní trouby z Ti Zn plechu, kruhové, D 120 mm</t>
  </si>
  <si>
    <t>2*8,5+2*6,7</t>
  </si>
  <si>
    <t>Oplechování okapů Ti Zn,živičná krytina, rš 330 mm</t>
  </si>
  <si>
    <t>34,40</t>
  </si>
  <si>
    <t>Žlaby Ti Zn plech, podokapní půlkruhové, rš 330 mm</t>
  </si>
  <si>
    <t>34,50   včetně háků,čel zděří</t>
  </si>
  <si>
    <t>Závětrná lišta z Ti Zn plechu, rš 330 mm</t>
  </si>
  <si>
    <t>5,5</t>
  </si>
  <si>
    <t>Hřeben střechy z Ti Zn plechu, rš 330 mm</t>
  </si>
  <si>
    <t>34,50   vrchní krycí lišta pultu střechy</t>
  </si>
  <si>
    <t>Lemování Ti Zn plechem zdí,rš 400 mm</t>
  </si>
  <si>
    <t>6,2   k stávajícímu objektu</t>
  </si>
  <si>
    <t>Kotlík závěsný TiZn půlkulatý,330/120 mm</t>
  </si>
  <si>
    <t>Oplechování parapetů včetně rohů Ti Zn, rš 160 mm</t>
  </si>
  <si>
    <t>1,5*14   včetně vyrovnání podkladů</t>
  </si>
  <si>
    <t>1,66*1</t>
  </si>
  <si>
    <t>0,85*1</t>
  </si>
  <si>
    <t>0,9*1</t>
  </si>
  <si>
    <t>1*1</t>
  </si>
  <si>
    <t>Přesun hmot pro klempířské konstr., výšky do 12 m</t>
  </si>
  <si>
    <t>0,504</t>
  </si>
  <si>
    <t>Konstrukce truhlářské</t>
  </si>
  <si>
    <t>Desky parapetní aglomer. dodávka a montáž</t>
  </si>
  <si>
    <t>25,41   šíře 20cm,včetně vyrovnání podkladu</t>
  </si>
  <si>
    <t>Montáž oken plastových plochy do 2,70 m2</t>
  </si>
  <si>
    <t>Okno plast. 150x150 dle PD</t>
  </si>
  <si>
    <t>Montáž oken plastových plochy do 1,50 m2</t>
  </si>
  <si>
    <t>Okno plast. 1660*850</t>
  </si>
  <si>
    <t>1   dle PD</t>
  </si>
  <si>
    <t>Okno plast. 850x850</t>
  </si>
  <si>
    <t>Okno plast.900x900</t>
  </si>
  <si>
    <t>Okno plast. 1000x1510</t>
  </si>
  <si>
    <t>Montáž oken dřevěných do příček</t>
  </si>
  <si>
    <t>Okno dřevěné fixní do příčky na chodbě  80x550</t>
  </si>
  <si>
    <t>23   dle PD</t>
  </si>
  <si>
    <t>Montáž obložkové zárubně a dřevěného křídla dveří</t>
  </si>
  <si>
    <t>Zárubeň obložková  š. 90 cm/st.  6-17 cm</t>
  </si>
  <si>
    <t>11   před.cena-dle výběru investora</t>
  </si>
  <si>
    <t>Dveře vnitřní lamino CPL 2/3sklo  1kř. 90x197</t>
  </si>
  <si>
    <t>Osazení zárubní ocel. požár.1křídl., pl. do 2,5 m2</t>
  </si>
  <si>
    <t>3   včetně zárubní</t>
  </si>
  <si>
    <t>Dveře požární 1kříd.-30 min EI 30 DP1 80x197 cm</t>
  </si>
  <si>
    <t>1   včetně samozavírače</t>
  </si>
  <si>
    <t>Dveře požární 1kříd.-30 min EI 30 DP1 90x197 cm</t>
  </si>
  <si>
    <t>2   včetně samozavírače</t>
  </si>
  <si>
    <t>Přesun hmot pro truhlářské konstr., výšky do 12 m</t>
  </si>
  <si>
    <t>3,647</t>
  </si>
  <si>
    <t>Podlahy povlakové</t>
  </si>
  <si>
    <t>Vyrovnání podkladů samonivelační hmotou</t>
  </si>
  <si>
    <t>91,42+159,42</t>
  </si>
  <si>
    <t>Provedení penetrace podkladu</t>
  </si>
  <si>
    <t>Lepení podlahových soklíků z PVC a vinylu</t>
  </si>
  <si>
    <t>20*4+3,45*12   1.n.p.</t>
  </si>
  <si>
    <t>-0,9*14</t>
  </si>
  <si>
    <t>33,94*4+3,25*8+4,85*4   2.n.p.</t>
  </si>
  <si>
    <t>-0,9*12</t>
  </si>
  <si>
    <t>Lepení povlakových podlah z PVC a CV (vinyl)</t>
  </si>
  <si>
    <t>250,84   včetně vinylové podlahoviny tl.2mm</t>
  </si>
  <si>
    <t>Přesun hmot pro podlahy povlakové, výšky do 12 m</t>
  </si>
  <si>
    <t>1,043</t>
  </si>
  <si>
    <t>Nátěry</t>
  </si>
  <si>
    <t>Nátěr tesařských konstrukcí Lignofix I Profi 2x</t>
  </si>
  <si>
    <t>117,504   stávající krokve</t>
  </si>
  <si>
    <t>Malby</t>
  </si>
  <si>
    <t>Penetrace podkladu nátěrem HET, A - Grund 1x</t>
  </si>
  <si>
    <t>408,733   nové omítky</t>
  </si>
  <si>
    <t>220,433*2   SDK příčky</t>
  </si>
  <si>
    <t>262,171   SDK strop</t>
  </si>
  <si>
    <t>Malba HET Super malba, bílá, bez penetrace, 2x</t>
  </si>
  <si>
    <t>1111,77</t>
  </si>
  <si>
    <t>Hodinové zúčtovací sazby (HZS)</t>
  </si>
  <si>
    <t>Beton pumpa</t>
  </si>
  <si>
    <t>6+6+6   pro betonáže podlah v podlažích</t>
  </si>
  <si>
    <t>Stavební výpomoce pro řemesla</t>
  </si>
  <si>
    <t>Lešení a stavební výtahy</t>
  </si>
  <si>
    <t>Montáž lešení leh.řad.s podlahami,š.1,2 m, H 10 m</t>
  </si>
  <si>
    <t>22*8</t>
  </si>
  <si>
    <t>12*6</t>
  </si>
  <si>
    <t>Příplatek za každý měsíc použití lešení k pol.1041</t>
  </si>
  <si>
    <t>248</t>
  </si>
  <si>
    <t>Demontáž lešení leh.řad.s podlahami,š.1,2 m,H 10 m</t>
  </si>
  <si>
    <t>Přesun hmot lešení samostatně budovaného</t>
  </si>
  <si>
    <t>4,879</t>
  </si>
  <si>
    <t>Lešení lehké pomocné, výška podlahy do 1,9 m</t>
  </si>
  <si>
    <t>11*4,6   pro SDK nad garáží 2.n.p.</t>
  </si>
  <si>
    <t>Bourání konstrukcí</t>
  </si>
  <si>
    <t>Bourání příček z cihel pálených děrovan. tl.100 mm</t>
  </si>
  <si>
    <t>(3,420*5+1,38+1,23+2,3)*3,6   příčky v 1.n.p.</t>
  </si>
  <si>
    <t>Bourání příček ze skleněných tvárnic tl. 10 cm</t>
  </si>
  <si>
    <t>(3,1+2,82+2,73+1,83+3,72)*3,66   1.n.p.</t>
  </si>
  <si>
    <t>-1,6*5</t>
  </si>
  <si>
    <t>2*1,8*2+1*0,8   2.n.p. výplně oken</t>
  </si>
  <si>
    <t>Vyvěšení dřevěných okenních křídel pl. do 1,5 m2</t>
  </si>
  <si>
    <t>4*4   1.n.p.</t>
  </si>
  <si>
    <t>7*8   2.n.p.</t>
  </si>
  <si>
    <t>Vyvěšení dřevěných dveřních křídel pl. do 2 m2</t>
  </si>
  <si>
    <t>10   1.n.p.</t>
  </si>
  <si>
    <t>2   2.n.p.</t>
  </si>
  <si>
    <t>Vybourání dřevěných rámů oken dvojitých pl. 2 m2</t>
  </si>
  <si>
    <t>2,065*1,75*4   1.n.p.</t>
  </si>
  <si>
    <t>Vybourání dřevěných rámů oken jednoduch. pl. 2 m2</t>
  </si>
  <si>
    <t>1,5*1,5*7*2   2.n.p.</t>
  </si>
  <si>
    <t>Vybourání kovových dveřních zárubní pl. do 2 m2</t>
  </si>
  <si>
    <t>12*1,6</t>
  </si>
  <si>
    <t>Přisekání rovných ostění cihelných na MVC</t>
  </si>
  <si>
    <t>0,8*2*0,45   pro okno 2.n.p.</t>
  </si>
  <si>
    <t>Prorážení otvorů a ostatní bourací práce</t>
  </si>
  <si>
    <t>Vybourání otv. zeď cihel.pro spojovací dveře se stávajícím objektem</t>
  </si>
  <si>
    <t>1*2,05*0,2   1.n.p.</t>
  </si>
  <si>
    <t>1*2,05*0,2   2.n.p.</t>
  </si>
  <si>
    <t>Vysekání rýh zeď cihelná vtah. nosníků 15 x 25 cm</t>
  </si>
  <si>
    <t>3*1,5   2.01-2.02</t>
  </si>
  <si>
    <t>Vysekání kapes zeď cihel. MVC, pl. 0,1m2, hl. 20cm</t>
  </si>
  <si>
    <t>22   1.n.p. pro nosiče stropu HEB 180</t>
  </si>
  <si>
    <t>Otlučení omítek vnitřních rákosov.stropů do 100 %</t>
  </si>
  <si>
    <t>22,390*4,85   strop 2.n.p.</t>
  </si>
  <si>
    <t>Otlučení omítek vnitřních stěn v rozsahu do 100 %</t>
  </si>
  <si>
    <t>(4,75+20+20)*3,66   1.n.p.</t>
  </si>
  <si>
    <t>-1,5*1,5*5</t>
  </si>
  <si>
    <t>-0,85*0,85</t>
  </si>
  <si>
    <t>-0,9*0,9</t>
  </si>
  <si>
    <t>-0,9*2</t>
  </si>
  <si>
    <t>(22+22+4,75+4,85)*2,7   2.n.p.</t>
  </si>
  <si>
    <t>-1,5*1,5*7</t>
  </si>
  <si>
    <t>-1,04*2</t>
  </si>
  <si>
    <t>(11,1+11,1+4,95+4,95)*4,51   2.n.p.nad garáží</t>
  </si>
  <si>
    <t>-1,5*1,5*3</t>
  </si>
  <si>
    <t>-1*1,5</t>
  </si>
  <si>
    <t>Otlučení omítek vnějších MVC v složit.1-4 do 100 %</t>
  </si>
  <si>
    <t>22,5*8,1+11,4*6,5   čelní stěna po osazení výplní otvorů</t>
  </si>
  <si>
    <t>-14*1,5*1,5</t>
  </si>
  <si>
    <t>-(0,85*0,85+0,9*0,9+1,72*0,85)</t>
  </si>
  <si>
    <t>-20,7*3,4   stěna garáží-odpočet</t>
  </si>
  <si>
    <t>Ostatní přesuny hmot</t>
  </si>
  <si>
    <t>Přesun hmot pro opravy a údržbu do výšky 12 m</t>
  </si>
  <si>
    <t>17,167+6,873+8,192+0,035+0,335+21,420+7,973+166,601</t>
  </si>
  <si>
    <t>Elektromontáže</t>
  </si>
  <si>
    <t>Elektromontáže včetně hromosvodu dle rozpisu</t>
  </si>
  <si>
    <t>Přesuny sutí</t>
  </si>
  <si>
    <t>Vnitrostaveništní doprava suti do 10 m</t>
  </si>
  <si>
    <t>6,386+37,117+2,216+1,52+3,324</t>
  </si>
  <si>
    <t>Příplatek k vnitrost. dopravě suti za dalších 5 m</t>
  </si>
  <si>
    <t>4*50,563</t>
  </si>
  <si>
    <t>Vodorovné přemístění suti na skládku do 6000 m</t>
  </si>
  <si>
    <t>50,563</t>
  </si>
  <si>
    <t>Příplatek za dalších započatých 1000 m nad 6000 m</t>
  </si>
  <si>
    <t>40*50,563   řízená skládka Volfartice</t>
  </si>
  <si>
    <t>Nakládání nebo překládání suti a vybouraných hmot</t>
  </si>
  <si>
    <t>Poplatek za skládku suti - beton</t>
  </si>
  <si>
    <t>6,386+37,117</t>
  </si>
  <si>
    <t>Poplatek za skládku suti - dřevo</t>
  </si>
  <si>
    <t>1,5+3,324</t>
  </si>
  <si>
    <t>Poplatek za skládku suti - asfaltové pásy</t>
  </si>
  <si>
    <t>2,216</t>
  </si>
  <si>
    <t>Doba výstavby:</t>
  </si>
  <si>
    <t>Začátek výstavby:</t>
  </si>
  <si>
    <t>Konec výstavby:</t>
  </si>
  <si>
    <t>Zpracováno dne:</t>
  </si>
  <si>
    <t>M.j.</t>
  </si>
  <si>
    <t>t</t>
  </si>
  <si>
    <t>m3</t>
  </si>
  <si>
    <t>m2</t>
  </si>
  <si>
    <t>kus</t>
  </si>
  <si>
    <t>soub</t>
  </si>
  <si>
    <t>soubor</t>
  </si>
  <si>
    <t>m</t>
  </si>
  <si>
    <t>h</t>
  </si>
  <si>
    <t>Množství</t>
  </si>
  <si>
    <t>21.02.2018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</si>
  <si>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</si>
  <si>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</si>
  <si>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</si>
  <si>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</si>
  <si>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</si>
  <si>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</si>
  <si>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</si>
  <si>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</si>
  <si>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</si>
  <si>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</si>
  <si>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RUMBURK</t>
  </si>
  <si>
    <t>LADISLAV ALBRECHT DIS</t>
  </si>
  <si>
    <t>BUDE VYBRÁN</t>
  </si>
  <si>
    <t>IIČVDF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</si>
  <si>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</si>
  <si>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</si>
  <si>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</si>
  <si>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</si>
  <si>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</si>
  <si>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</si>
  <si>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</si>
  <si>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</si>
  <si>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</si>
  <si>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</si>
  <si>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</si>
  <si>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</si>
  <si>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</si>
  <si>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</si>
  <si>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</si>
  <si>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</si>
  <si>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41_</t>
  </si>
  <si>
    <t>43_</t>
  </si>
  <si>
    <t>60_</t>
  </si>
  <si>
    <t>61_</t>
  </si>
  <si>
    <t>62_</t>
  </si>
  <si>
    <t>63_</t>
  </si>
  <si>
    <t>712_</t>
  </si>
  <si>
    <t>713_</t>
  </si>
  <si>
    <t>731_</t>
  </si>
  <si>
    <t>762_</t>
  </si>
  <si>
    <t>764_</t>
  </si>
  <si>
    <t>766_</t>
  </si>
  <si>
    <t>776_</t>
  </si>
  <si>
    <t>783_</t>
  </si>
  <si>
    <t>784_</t>
  </si>
  <si>
    <t>90_</t>
  </si>
  <si>
    <t>94_</t>
  </si>
  <si>
    <t>96_</t>
  </si>
  <si>
    <t>97_</t>
  </si>
  <si>
    <t>H99_</t>
  </si>
  <si>
    <t>M21_</t>
  </si>
  <si>
    <t>S_</t>
  </si>
  <si>
    <t>3_</t>
  </si>
  <si>
    <t>4_</t>
  </si>
  <si>
    <t>6_</t>
  </si>
  <si>
    <t>71_</t>
  </si>
  <si>
    <t>73_</t>
  </si>
  <si>
    <t>76_</t>
  </si>
  <si>
    <t>77_</t>
  </si>
  <si>
    <t>78_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</si>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</sst>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3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49" fontId="4" fillId="2" borderId="7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8" fillId="2" borderId="7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vertical="center"/>
      <protection/>
    </xf>
    <xf numFmtId="49" fontId="1" fillId="0" borderId="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1" fillId="3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49" fontId="12" fillId="3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3" fillId="0" borderId="36" xfId="0" applyNumberFormat="1" applyFont="1" applyFill="1" applyBorder="1" applyAlignment="1" applyProtection="1">
      <alignment vertical="center"/>
      <protection/>
    </xf>
    <xf numFmtId="49" fontId="13" fillId="0" borderId="25" xfId="0" applyNumberFormat="1" applyFont="1" applyFill="1" applyBorder="1" applyAlignment="1" applyProtection="1">
      <alignment vertical="center"/>
      <protection/>
    </xf>
    <xf numFmtId="49" fontId="13" fillId="0" borderId="37" xfId="0" applyNumberFormat="1" applyFont="1" applyFill="1" applyBorder="1" applyAlignment="1" applyProtection="1">
      <alignment vertical="center"/>
      <protection/>
    </xf>
    <xf numFmtId="49" fontId="7" fillId="0" borderId="7" xfId="0" applyNumberFormat="1" applyFont="1" applyFill="1" applyBorder="1" applyAlignment="1" applyProtection="1">
      <alignment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vertical="center"/>
      <protection/>
    </xf>
    <xf numFmtId="49" fontId="13" fillId="0" borderId="31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0" fontId="12" fillId="3" borderId="30" xfId="0" applyNumberFormat="1" applyFont="1" applyFill="1" applyBorder="1" applyAlignment="1" applyProtection="1">
      <alignment vertical="center"/>
      <protection/>
    </xf>
    <xf numFmtId="0" fontId="13" fillId="0" borderId="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9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vertical="center"/>
      <protection/>
    </xf>
    <xf numFmtId="0" fontId="13" fillId="0" borderId="40" xfId="0" applyNumberFormat="1" applyFont="1" applyFill="1" applyBorder="1" applyAlignment="1" applyProtection="1">
      <alignment vertical="center"/>
      <protection/>
    </xf>
    <xf numFmtId="0" fontId="13" fillId="0" borderId="41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" fontId="13" fillId="0" borderId="31" xfId="0" applyNumberFormat="1" applyFont="1" applyFill="1" applyBorder="1" applyAlignment="1" applyProtection="1">
      <alignment horizontal="right" vertical="center"/>
      <protection/>
    </xf>
    <xf numFmtId="49" fontId="13" fillId="0" borderId="31" xfId="0" applyNumberFormat="1" applyFont="1" applyFill="1" applyBorder="1" applyAlignment="1" applyProtection="1">
      <alignment horizontal="right"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9" fontId="1" fillId="0" borderId="21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1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62.7109375" customWidth="1"/>
    <col min="5" max="5" width="7.003906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1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4"/>
      <c r="C2" s="14"/>
      <c r="D2" s="24" t="s">
        <v>239</v>
      </c>
      <c r="E2" s="29" t="s">
        <v>524</v>
      </c>
      <c r="F2" s="14"/>
      <c r="G2" s="29" t="s">
        <v>6</v>
      </c>
      <c r="H2" s="14"/>
      <c r="I2" s="41" t="s">
        <v>544</v>
      </c>
      <c r="J2" s="41" t="s">
        <v>549</v>
      </c>
      <c r="K2" s="14"/>
      <c r="L2" s="14"/>
      <c r="M2" s="49"/>
      <c r="N2" s="4"/>
    </row>
    <row r="3" spans="1:14" ht="12.75">
      <c r="A3" s="4"/>
      <c r="B3" s="18"/>
      <c r="C3" s="18"/>
      <c r="D3" s="25"/>
      <c r="E3" s="18"/>
      <c r="F3" s="18"/>
      <c r="G3" s="18"/>
      <c r="H3" s="18"/>
      <c r="I3" s="18"/>
      <c r="J3" s="18"/>
      <c r="K3" s="18"/>
      <c r="L3" s="18"/>
      <c r="M3" s="50"/>
      <c r="N3" s="4"/>
    </row>
    <row r="4" spans="1:14" ht="12.75">
      <c r="A4" s="5" t="s">
        <v>2</v>
      </c>
      <c r="B4" s="18"/>
      <c r="C4" s="18"/>
      <c r="D4" s="16" t="s">
        <v>240</v>
      </c>
      <c r="E4" s="30" t="s">
        <v>525</v>
      </c>
      <c r="F4" s="18"/>
      <c r="G4" s="30" t="s">
        <v>6</v>
      </c>
      <c r="H4" s="18"/>
      <c r="I4" s="16" t="s">
        <v>545</v>
      </c>
      <c r="J4" s="16" t="s">
        <v>550</v>
      </c>
      <c r="K4" s="18"/>
      <c r="L4" s="18"/>
      <c r="M4" s="50"/>
      <c r="N4" s="4"/>
    </row>
    <row r="5" spans="1:14" ht="12.75">
      <c r="A5" s="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50"/>
      <c r="N5" s="4"/>
    </row>
    <row r="6" spans="1:14" ht="12.75">
      <c r="A6" s="5" t="s">
        <v>3</v>
      </c>
      <c r="B6" s="18"/>
      <c r="C6" s="18"/>
      <c r="D6" s="16" t="s">
        <v>241</v>
      </c>
      <c r="E6" s="30" t="s">
        <v>526</v>
      </c>
      <c r="F6" s="18"/>
      <c r="G6" s="30" t="s">
        <v>6</v>
      </c>
      <c r="H6" s="18"/>
      <c r="I6" s="16" t="s">
        <v>546</v>
      </c>
      <c r="J6" s="16" t="s">
        <v>551</v>
      </c>
      <c r="K6" s="18"/>
      <c r="L6" s="18"/>
      <c r="M6" s="50"/>
      <c r="N6" s="4"/>
    </row>
    <row r="7" spans="1:14" ht="12.75">
      <c r="A7" s="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50"/>
      <c r="N7" s="4"/>
    </row>
    <row r="8" spans="1:14" ht="12.75">
      <c r="A8" s="5" t="s">
        <v>4</v>
      </c>
      <c r="B8" s="18"/>
      <c r="C8" s="18"/>
      <c r="D8" s="16" t="s">
        <v>6</v>
      </c>
      <c r="E8" s="30" t="s">
        <v>527</v>
      </c>
      <c r="F8" s="18"/>
      <c r="G8" s="30" t="s">
        <v>538</v>
      </c>
      <c r="H8" s="18"/>
      <c r="I8" s="16" t="s">
        <v>547</v>
      </c>
      <c r="J8" s="16" t="s">
        <v>552</v>
      </c>
      <c r="K8" s="18"/>
      <c r="L8" s="18"/>
      <c r="M8" s="50"/>
      <c r="N8" s="4"/>
    </row>
    <row r="9" spans="1:14" ht="12.75">
      <c r="A9" s="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51"/>
      <c r="N9" s="4"/>
    </row>
    <row r="10" spans="1:14" ht="12.75">
      <c r="A10" s="7" t="s">
        <v>5</v>
      </c>
      <c r="B10" s="20" t="s">
        <v>117</v>
      </c>
      <c r="C10" s="20" t="s">
        <v>118</v>
      </c>
      <c r="D10" s="20" t="s">
        <v>242</v>
      </c>
      <c r="E10" s="20" t="s">
        <v>528</v>
      </c>
      <c r="F10" s="31" t="s">
        <v>537</v>
      </c>
      <c r="G10" s="36" t="s">
        <v>539</v>
      </c>
      <c r="H10" s="38" t="s">
        <v>541</v>
      </c>
      <c r="I10" s="42"/>
      <c r="J10" s="45"/>
      <c r="K10" s="38" t="s">
        <v>554</v>
      </c>
      <c r="L10" s="45"/>
      <c r="M10" s="52" t="s">
        <v>555</v>
      </c>
      <c r="N10" s="56"/>
    </row>
    <row r="11" spans="1:24" ht="12.75">
      <c r="A11" s="8" t="s">
        <v>6</v>
      </c>
      <c r="B11" s="21" t="s">
        <v>6</v>
      </c>
      <c r="C11" s="21" t="s">
        <v>6</v>
      </c>
      <c r="D11" s="26" t="s">
        <v>243</v>
      </c>
      <c r="E11" s="21" t="s">
        <v>6</v>
      </c>
      <c r="F11" s="21" t="s">
        <v>6</v>
      </c>
      <c r="G11" s="37" t="s">
        <v>540</v>
      </c>
      <c r="H11" s="39" t="s">
        <v>542</v>
      </c>
      <c r="I11" s="43" t="s">
        <v>548</v>
      </c>
      <c r="J11" s="46" t="s">
        <v>553</v>
      </c>
      <c r="K11" s="39" t="s">
        <v>539</v>
      </c>
      <c r="L11" s="46" t="s">
        <v>553</v>
      </c>
      <c r="M11" s="53" t="s">
        <v>556</v>
      </c>
      <c r="N11" s="56"/>
      <c r="P11" s="48" t="s">
        <v>558</v>
      </c>
      <c r="Q11" s="48" t="s">
        <v>559</v>
      </c>
      <c r="R11" s="48" t="s">
        <v>560</v>
      </c>
      <c r="S11" s="48" t="s">
        <v>561</v>
      </c>
      <c r="T11" s="48" t="s">
        <v>562</v>
      </c>
      <c r="U11" s="48" t="s">
        <v>563</v>
      </c>
      <c r="V11" s="48" t="s">
        <v>564</v>
      </c>
      <c r="W11" s="48" t="s">
        <v>565</v>
      </c>
      <c r="X11" s="48" t="s">
        <v>566</v>
      </c>
    </row>
    <row r="12" spans="1:37" ht="12.75">
      <c r="A12" s="9"/>
      <c r="B12" s="22"/>
      <c r="C12" s="22" t="s">
        <v>37</v>
      </c>
      <c r="D12" s="22" t="s">
        <v>244</v>
      </c>
      <c r="E12" s="9" t="s">
        <v>6</v>
      </c>
      <c r="F12" s="9" t="s">
        <v>6</v>
      </c>
      <c r="G12" s="9" t="s">
        <v>6</v>
      </c>
      <c r="H12" s="59">
        <f>SUM(H13:H21)</f>
        <v>0</v>
      </c>
      <c r="I12" s="59">
        <f>SUM(I13:I21)</f>
        <v>0</v>
      </c>
      <c r="J12" s="59">
        <f>H12+I12</f>
        <v>0</v>
      </c>
      <c r="K12" s="47"/>
      <c r="L12" s="59">
        <f>SUM(L13:L21)</f>
        <v>17.1673356843</v>
      </c>
      <c r="M12" s="47"/>
      <c r="Y12" s="48"/>
      <c r="AI12" s="60">
        <f>SUM(Z13:Z21)</f>
        <v>0</v>
      </c>
      <c r="AJ12" s="60">
        <f>SUM(AA13:AA21)</f>
        <v>0</v>
      </c>
      <c r="AK12" s="60">
        <f>SUM(AB13:AB21)</f>
        <v>0</v>
      </c>
    </row>
    <row r="13" spans="1:48" ht="12.75">
      <c r="A13" s="10" t="s">
        <v>7</v>
      </c>
      <c r="B13" s="10"/>
      <c r="C13" s="10" t="s">
        <v>119</v>
      </c>
      <c r="D13" s="10" t="s">
        <v>245</v>
      </c>
      <c r="E13" s="10" t="s">
        <v>529</v>
      </c>
      <c r="F13" s="32">
        <v>0.1892</v>
      </c>
      <c r="G13" s="32">
        <v>0</v>
      </c>
      <c r="H13" s="32">
        <f>F13*AE13</f>
        <v>0</v>
      </c>
      <c r="I13" s="32">
        <f>J13-H13</f>
        <v>0</v>
      </c>
      <c r="J13" s="32">
        <f>F13*G13</f>
        <v>0</v>
      </c>
      <c r="K13" s="32">
        <v>1.09709</v>
      </c>
      <c r="L13" s="32">
        <f>F13*K13</f>
        <v>0.207569428</v>
      </c>
      <c r="M13" s="54" t="s">
        <v>557</v>
      </c>
      <c r="P13" s="57">
        <f>IF(AG13="5",J13,0)</f>
        <v>0</v>
      </c>
      <c r="R13" s="57">
        <f>IF(AG13="1",H13,0)</f>
        <v>0</v>
      </c>
      <c r="S13" s="57">
        <f>IF(AG13="1",I13,0)</f>
        <v>0</v>
      </c>
      <c r="T13" s="57">
        <f>IF(AG13="7",H13,0)</f>
        <v>0</v>
      </c>
      <c r="U13" s="57">
        <f>IF(AG13="7",I13,0)</f>
        <v>0</v>
      </c>
      <c r="V13" s="57">
        <f>IF(AG13="2",H13,0)</f>
        <v>0</v>
      </c>
      <c r="W13" s="57">
        <f>IF(AG13="2",I13,0)</f>
        <v>0</v>
      </c>
      <c r="X13" s="57">
        <f>IF(AG13="0",J13,0)</f>
        <v>0</v>
      </c>
      <c r="Y13" s="48"/>
      <c r="Z13" s="32">
        <f>IF(AD13=0,J13,0)</f>
        <v>0</v>
      </c>
      <c r="AA13" s="32">
        <f>IF(AD13=15,J13,0)</f>
        <v>0</v>
      </c>
      <c r="AB13" s="32">
        <f>IF(AD13=21,J13,0)</f>
        <v>0</v>
      </c>
      <c r="AD13" s="57">
        <v>21</v>
      </c>
      <c r="AE13" s="57">
        <f>G13*0.682433673874927</f>
        <v>0</v>
      </c>
      <c r="AF13" s="57">
        <f>G13*(1-0.682433673874927)</f>
        <v>0</v>
      </c>
      <c r="AG13" s="54" t="s">
        <v>7</v>
      </c>
      <c r="AM13" s="57">
        <f>F13*AE13</f>
        <v>0</v>
      </c>
      <c r="AN13" s="57">
        <f>F13*AF13</f>
        <v>0</v>
      </c>
      <c r="AO13" s="58" t="s">
        <v>567</v>
      </c>
      <c r="AP13" s="58" t="s">
        <v>591</v>
      </c>
      <c r="AQ13" s="48" t="s">
        <v>600</v>
      </c>
      <c r="AS13" s="57">
        <f>AM13+AN13</f>
        <v>0</v>
      </c>
      <c r="AT13" s="57">
        <f>G13/(100-AU13)*100</f>
        <v>0</v>
      </c>
      <c r="AU13" s="57">
        <v>0</v>
      </c>
      <c r="AV13" s="57">
        <f>L13</f>
        <v>0.207569428</v>
      </c>
    </row>
    <row r="14" spans="4:6" ht="12.75">
      <c r="D14" s="27" t="s">
        <v>246</v>
      </c>
      <c r="F14" s="33">
        <v>0.1892</v>
      </c>
    </row>
    <row r="15" spans="1:48" ht="12.75">
      <c r="A15" s="10" t="s">
        <v>8</v>
      </c>
      <c r="B15" s="10"/>
      <c r="C15" s="10" t="s">
        <v>120</v>
      </c>
      <c r="D15" s="10" t="s">
        <v>247</v>
      </c>
      <c r="E15" s="10" t="s">
        <v>530</v>
      </c>
      <c r="F15" s="32">
        <v>0.2025</v>
      </c>
      <c r="G15" s="32">
        <v>0</v>
      </c>
      <c r="H15" s="32">
        <f>F15*AE15</f>
        <v>0</v>
      </c>
      <c r="I15" s="32">
        <f>J15-H15</f>
        <v>0</v>
      </c>
      <c r="J15" s="32">
        <f>F15*G15</f>
        <v>0</v>
      </c>
      <c r="K15" s="32">
        <v>1.796</v>
      </c>
      <c r="L15" s="32">
        <f>F15*K15</f>
        <v>0.36369</v>
      </c>
      <c r="M15" s="54" t="s">
        <v>557</v>
      </c>
      <c r="P15" s="57">
        <f>IF(AG15="5",J15,0)</f>
        <v>0</v>
      </c>
      <c r="R15" s="57">
        <f>IF(AG15="1",H15,0)</f>
        <v>0</v>
      </c>
      <c r="S15" s="57">
        <f>IF(AG15="1",I15,0)</f>
        <v>0</v>
      </c>
      <c r="T15" s="57">
        <f>IF(AG15="7",H15,0)</f>
        <v>0</v>
      </c>
      <c r="U15" s="57">
        <f>IF(AG15="7",I15,0)</f>
        <v>0</v>
      </c>
      <c r="V15" s="57">
        <f>IF(AG15="2",H15,0)</f>
        <v>0</v>
      </c>
      <c r="W15" s="57">
        <f>IF(AG15="2",I15,0)</f>
        <v>0</v>
      </c>
      <c r="X15" s="57">
        <f>IF(AG15="0",J15,0)</f>
        <v>0</v>
      </c>
      <c r="Y15" s="48"/>
      <c r="Z15" s="32">
        <f>IF(AD15=0,J15,0)</f>
        <v>0</v>
      </c>
      <c r="AA15" s="32">
        <f>IF(AD15=15,J15,0)</f>
        <v>0</v>
      </c>
      <c r="AB15" s="32">
        <f>IF(AD15=21,J15,0)</f>
        <v>0</v>
      </c>
      <c r="AD15" s="57">
        <v>21</v>
      </c>
      <c r="AE15" s="57">
        <f>G15*0.577231428204057</f>
        <v>0</v>
      </c>
      <c r="AF15" s="57">
        <f>G15*(1-0.577231428204057)</f>
        <v>0</v>
      </c>
      <c r="AG15" s="54" t="s">
        <v>7</v>
      </c>
      <c r="AM15" s="57">
        <f>F15*AE15</f>
        <v>0</v>
      </c>
      <c r="AN15" s="57">
        <f>F15*AF15</f>
        <v>0</v>
      </c>
      <c r="AO15" s="58" t="s">
        <v>567</v>
      </c>
      <c r="AP15" s="58" t="s">
        <v>591</v>
      </c>
      <c r="AQ15" s="48" t="s">
        <v>600</v>
      </c>
      <c r="AS15" s="57">
        <f>AM15+AN15</f>
        <v>0</v>
      </c>
      <c r="AT15" s="57">
        <f>G15/(100-AU15)*100</f>
        <v>0</v>
      </c>
      <c r="AU15" s="57">
        <v>0</v>
      </c>
      <c r="AV15" s="57">
        <f>L15</f>
        <v>0.36369</v>
      </c>
    </row>
    <row r="16" spans="4:6" ht="12.75">
      <c r="D16" s="27" t="s">
        <v>248</v>
      </c>
      <c r="F16" s="33">
        <v>0.2025</v>
      </c>
    </row>
    <row r="17" spans="1:48" ht="12.75">
      <c r="A17" s="10" t="s">
        <v>9</v>
      </c>
      <c r="B17" s="10"/>
      <c r="C17" s="10" t="s">
        <v>119</v>
      </c>
      <c r="D17" s="10" t="s">
        <v>249</v>
      </c>
      <c r="E17" s="10" t="s">
        <v>529</v>
      </c>
      <c r="F17" s="32">
        <v>9.62407</v>
      </c>
      <c r="G17" s="32">
        <v>0</v>
      </c>
      <c r="H17" s="32">
        <f>F17*AE17</f>
        <v>0</v>
      </c>
      <c r="I17" s="32">
        <f>J17-H17</f>
        <v>0</v>
      </c>
      <c r="J17" s="32">
        <f>F17*G17</f>
        <v>0</v>
      </c>
      <c r="K17" s="32">
        <v>1.09709</v>
      </c>
      <c r="L17" s="32">
        <f>F17*K17</f>
        <v>10.558470956299999</v>
      </c>
      <c r="M17" s="54" t="s">
        <v>557</v>
      </c>
      <c r="P17" s="57">
        <f>IF(AG17="5",J17,0)</f>
        <v>0</v>
      </c>
      <c r="R17" s="57">
        <f>IF(AG17="1",H17,0)</f>
        <v>0</v>
      </c>
      <c r="S17" s="57">
        <f>IF(AG17="1",I17,0)</f>
        <v>0</v>
      </c>
      <c r="T17" s="57">
        <f>IF(AG17="7",H17,0)</f>
        <v>0</v>
      </c>
      <c r="U17" s="57">
        <f>IF(AG17="7",I17,0)</f>
        <v>0</v>
      </c>
      <c r="V17" s="57">
        <f>IF(AG17="2",H17,0)</f>
        <v>0</v>
      </c>
      <c r="W17" s="57">
        <f>IF(AG17="2",I17,0)</f>
        <v>0</v>
      </c>
      <c r="X17" s="57">
        <f>IF(AG17="0",J17,0)</f>
        <v>0</v>
      </c>
      <c r="Y17" s="48"/>
      <c r="Z17" s="32">
        <f>IF(AD17=0,J17,0)</f>
        <v>0</v>
      </c>
      <c r="AA17" s="32">
        <f>IF(AD17=15,J17,0)</f>
        <v>0</v>
      </c>
      <c r="AB17" s="32">
        <f>IF(AD17=21,J17,0)</f>
        <v>0</v>
      </c>
      <c r="AD17" s="57">
        <v>21</v>
      </c>
      <c r="AE17" s="57">
        <f>G17*0.682434203324062</f>
        <v>0</v>
      </c>
      <c r="AF17" s="57">
        <f>G17*(1-0.682434203324062)</f>
        <v>0</v>
      </c>
      <c r="AG17" s="54" t="s">
        <v>7</v>
      </c>
      <c r="AM17" s="57">
        <f>F17*AE17</f>
        <v>0</v>
      </c>
      <c r="AN17" s="57">
        <f>F17*AF17</f>
        <v>0</v>
      </c>
      <c r="AO17" s="58" t="s">
        <v>567</v>
      </c>
      <c r="AP17" s="58" t="s">
        <v>591</v>
      </c>
      <c r="AQ17" s="48" t="s">
        <v>600</v>
      </c>
      <c r="AS17" s="57">
        <f>AM17+AN17</f>
        <v>0</v>
      </c>
      <c r="AT17" s="57">
        <f>G17/(100-AU17)*100</f>
        <v>0</v>
      </c>
      <c r="AU17" s="57">
        <v>0</v>
      </c>
      <c r="AV17" s="57">
        <f>L17</f>
        <v>10.558470956299999</v>
      </c>
    </row>
    <row r="18" spans="4:6" ht="12.75">
      <c r="D18" s="27" t="s">
        <v>250</v>
      </c>
      <c r="F18" s="33">
        <v>1.56672</v>
      </c>
    </row>
    <row r="19" spans="4:6" ht="12.75">
      <c r="D19" s="27" t="s">
        <v>251</v>
      </c>
      <c r="F19" s="33">
        <v>1.32813</v>
      </c>
    </row>
    <row r="20" spans="4:6" ht="12.75">
      <c r="D20" s="27" t="s">
        <v>252</v>
      </c>
      <c r="F20" s="33">
        <v>6.72922</v>
      </c>
    </row>
    <row r="21" spans="1:48" ht="12.75">
      <c r="A21" s="10" t="s">
        <v>10</v>
      </c>
      <c r="B21" s="10"/>
      <c r="C21" s="10" t="s">
        <v>121</v>
      </c>
      <c r="D21" s="10" t="s">
        <v>253</v>
      </c>
      <c r="E21" s="10" t="s">
        <v>530</v>
      </c>
      <c r="F21" s="32">
        <v>3.1215</v>
      </c>
      <c r="G21" s="32">
        <v>0</v>
      </c>
      <c r="H21" s="32">
        <f>F21*AE21</f>
        <v>0</v>
      </c>
      <c r="I21" s="32">
        <f>J21-H21</f>
        <v>0</v>
      </c>
      <c r="J21" s="32">
        <f>F21*G21</f>
        <v>0</v>
      </c>
      <c r="K21" s="32">
        <v>1.9342</v>
      </c>
      <c r="L21" s="32">
        <f>F21*K21</f>
        <v>6.0376053</v>
      </c>
      <c r="M21" s="54" t="s">
        <v>557</v>
      </c>
      <c r="P21" s="57">
        <f>IF(AG21="5",J21,0)</f>
        <v>0</v>
      </c>
      <c r="R21" s="57">
        <f>IF(AG21="1",H21,0)</f>
        <v>0</v>
      </c>
      <c r="S21" s="57">
        <f>IF(AG21="1",I21,0)</f>
        <v>0</v>
      </c>
      <c r="T21" s="57">
        <f>IF(AG21="7",H21,0)</f>
        <v>0</v>
      </c>
      <c r="U21" s="57">
        <f>IF(AG21="7",I21,0)</f>
        <v>0</v>
      </c>
      <c r="V21" s="57">
        <f>IF(AG21="2",H21,0)</f>
        <v>0</v>
      </c>
      <c r="W21" s="57">
        <f>IF(AG21="2",I21,0)</f>
        <v>0</v>
      </c>
      <c r="X21" s="57">
        <f>IF(AG21="0",J21,0)</f>
        <v>0</v>
      </c>
      <c r="Y21" s="48"/>
      <c r="Z21" s="32">
        <f>IF(AD21=0,J21,0)</f>
        <v>0</v>
      </c>
      <c r="AA21" s="32">
        <f>IF(AD21=15,J21,0)</f>
        <v>0</v>
      </c>
      <c r="AB21" s="32">
        <f>IF(AD21=21,J21,0)</f>
        <v>0</v>
      </c>
      <c r="AD21" s="57">
        <v>21</v>
      </c>
      <c r="AE21" s="57">
        <f>G21*0.672349703456188</f>
        <v>0</v>
      </c>
      <c r="AF21" s="57">
        <f>G21*(1-0.672349703456188)</f>
        <v>0</v>
      </c>
      <c r="AG21" s="54" t="s">
        <v>7</v>
      </c>
      <c r="AM21" s="57">
        <f>F21*AE21</f>
        <v>0</v>
      </c>
      <c r="AN21" s="57">
        <f>F21*AF21</f>
        <v>0</v>
      </c>
      <c r="AO21" s="58" t="s">
        <v>567</v>
      </c>
      <c r="AP21" s="58" t="s">
        <v>591</v>
      </c>
      <c r="AQ21" s="48" t="s">
        <v>600</v>
      </c>
      <c r="AS21" s="57">
        <f>AM21+AN21</f>
        <v>0</v>
      </c>
      <c r="AT21" s="57">
        <f>G21/(100-AU21)*100</f>
        <v>0</v>
      </c>
      <c r="AU21" s="57">
        <v>0</v>
      </c>
      <c r="AV21" s="57">
        <f>L21</f>
        <v>6.0376053</v>
      </c>
    </row>
    <row r="22" spans="4:6" ht="12.75">
      <c r="D22" s="27" t="s">
        <v>254</v>
      </c>
      <c r="F22" s="33">
        <v>0.4875</v>
      </c>
    </row>
    <row r="23" spans="4:6" ht="12.75">
      <c r="D23" s="27" t="s">
        <v>255</v>
      </c>
      <c r="F23" s="33">
        <v>0.36375</v>
      </c>
    </row>
    <row r="24" spans="4:6" ht="12.75">
      <c r="D24" s="27" t="s">
        <v>256</v>
      </c>
      <c r="F24" s="33">
        <v>0.3375</v>
      </c>
    </row>
    <row r="25" spans="4:6" ht="12.75">
      <c r="D25" s="27" t="s">
        <v>257</v>
      </c>
      <c r="F25" s="33">
        <v>0.17625</v>
      </c>
    </row>
    <row r="26" spans="4:6" ht="12.75">
      <c r="D26" s="27" t="s">
        <v>258</v>
      </c>
      <c r="F26" s="33">
        <v>0.1815</v>
      </c>
    </row>
    <row r="27" spans="4:6" ht="12.75">
      <c r="D27" s="27" t="s">
        <v>259</v>
      </c>
      <c r="F27" s="33">
        <v>0.9</v>
      </c>
    </row>
    <row r="28" spans="4:6" ht="12.75">
      <c r="D28" s="27" t="s">
        <v>260</v>
      </c>
      <c r="F28" s="33">
        <v>0.3375</v>
      </c>
    </row>
    <row r="29" spans="4:6" ht="12.75">
      <c r="D29" s="27" t="s">
        <v>260</v>
      </c>
      <c r="F29" s="33">
        <v>0.3375</v>
      </c>
    </row>
    <row r="30" spans="1:37" ht="12.75">
      <c r="A30" s="11"/>
      <c r="B30" s="23"/>
      <c r="C30" s="23" t="s">
        <v>40</v>
      </c>
      <c r="D30" s="23" t="s">
        <v>261</v>
      </c>
      <c r="E30" s="11" t="s">
        <v>6</v>
      </c>
      <c r="F30" s="11" t="s">
        <v>6</v>
      </c>
      <c r="G30" s="11" t="s">
        <v>6</v>
      </c>
      <c r="H30" s="60">
        <f>SUM(H31:H31)</f>
        <v>0</v>
      </c>
      <c r="I30" s="60">
        <f>SUM(I31:I31)</f>
        <v>0</v>
      </c>
      <c r="J30" s="60">
        <f>H30+I30</f>
        <v>0</v>
      </c>
      <c r="K30" s="48"/>
      <c r="L30" s="60">
        <f>SUM(L31:L31)</f>
        <v>6.873129002</v>
      </c>
      <c r="M30" s="48"/>
      <c r="Y30" s="48"/>
      <c r="AI30" s="60">
        <f>SUM(Z31:Z31)</f>
        <v>0</v>
      </c>
      <c r="AJ30" s="60">
        <f>SUM(AA31:AA31)</f>
        <v>0</v>
      </c>
      <c r="AK30" s="60">
        <f>SUM(AB31:AB31)</f>
        <v>0</v>
      </c>
    </row>
    <row r="31" spans="1:48" ht="12.75">
      <c r="A31" s="10" t="s">
        <v>11</v>
      </c>
      <c r="B31" s="10"/>
      <c r="C31" s="10" t="s">
        <v>122</v>
      </c>
      <c r="D31" s="10" t="s">
        <v>262</v>
      </c>
      <c r="E31" s="10" t="s">
        <v>531</v>
      </c>
      <c r="F31" s="32">
        <v>220.4339</v>
      </c>
      <c r="G31" s="32">
        <v>0</v>
      </c>
      <c r="H31" s="32">
        <f>F31*AE31</f>
        <v>0</v>
      </c>
      <c r="I31" s="32">
        <f>J31-H31</f>
        <v>0</v>
      </c>
      <c r="J31" s="32">
        <f>F31*G31</f>
        <v>0</v>
      </c>
      <c r="K31" s="32">
        <v>0.03118</v>
      </c>
      <c r="L31" s="32">
        <f>F31*K31</f>
        <v>6.873129002</v>
      </c>
      <c r="M31" s="54" t="s">
        <v>557</v>
      </c>
      <c r="P31" s="57">
        <f>IF(AG31="5",J31,0)</f>
        <v>0</v>
      </c>
      <c r="R31" s="57">
        <f>IF(AG31="1",H31,0)</f>
        <v>0</v>
      </c>
      <c r="S31" s="57">
        <f>IF(AG31="1",I31,0)</f>
        <v>0</v>
      </c>
      <c r="T31" s="57">
        <f>IF(AG31="7",H31,0)</f>
        <v>0</v>
      </c>
      <c r="U31" s="57">
        <f>IF(AG31="7",I31,0)</f>
        <v>0</v>
      </c>
      <c r="V31" s="57">
        <f>IF(AG31="2",H31,0)</f>
        <v>0</v>
      </c>
      <c r="W31" s="57">
        <f>IF(AG31="2",I31,0)</f>
        <v>0</v>
      </c>
      <c r="X31" s="57">
        <f>IF(AG31="0",J31,0)</f>
        <v>0</v>
      </c>
      <c r="Y31" s="48"/>
      <c r="Z31" s="32">
        <f>IF(AD31=0,J31,0)</f>
        <v>0</v>
      </c>
      <c r="AA31" s="32">
        <f>IF(AD31=15,J31,0)</f>
        <v>0</v>
      </c>
      <c r="AB31" s="32">
        <f>IF(AD31=21,J31,0)</f>
        <v>0</v>
      </c>
      <c r="AD31" s="57">
        <v>21</v>
      </c>
      <c r="AE31" s="57">
        <f>G31*0.465101247250524</f>
        <v>0</v>
      </c>
      <c r="AF31" s="57">
        <f>G31*(1-0.465101247250524)</f>
        <v>0</v>
      </c>
      <c r="AG31" s="54" t="s">
        <v>7</v>
      </c>
      <c r="AM31" s="57">
        <f>F31*AE31</f>
        <v>0</v>
      </c>
      <c r="AN31" s="57">
        <f>F31*AF31</f>
        <v>0</v>
      </c>
      <c r="AO31" s="58" t="s">
        <v>568</v>
      </c>
      <c r="AP31" s="58" t="s">
        <v>591</v>
      </c>
      <c r="AQ31" s="48" t="s">
        <v>600</v>
      </c>
      <c r="AS31" s="57">
        <f>AM31+AN31</f>
        <v>0</v>
      </c>
      <c r="AT31" s="57">
        <f>G31/(100-AU31)*100</f>
        <v>0</v>
      </c>
      <c r="AU31" s="57">
        <v>0</v>
      </c>
      <c r="AV31" s="57">
        <f>L31</f>
        <v>6.873129002</v>
      </c>
    </row>
    <row r="32" spans="4:6" ht="12.75">
      <c r="D32" s="27" t="s">
        <v>263</v>
      </c>
      <c r="F32" s="33">
        <v>112.5009</v>
      </c>
    </row>
    <row r="33" spans="4:6" ht="12.75">
      <c r="D33" s="27" t="s">
        <v>264</v>
      </c>
      <c r="F33" s="33">
        <v>-13.84</v>
      </c>
    </row>
    <row r="34" spans="4:6" ht="12.75">
      <c r="D34" s="27" t="s">
        <v>265</v>
      </c>
      <c r="F34" s="33">
        <v>85.9545</v>
      </c>
    </row>
    <row r="35" spans="4:6" ht="12.75">
      <c r="D35" s="27" t="s">
        <v>266</v>
      </c>
      <c r="F35" s="33">
        <v>-25.344</v>
      </c>
    </row>
    <row r="36" spans="4:6" ht="12.75">
      <c r="D36" s="27" t="s">
        <v>267</v>
      </c>
      <c r="F36" s="33">
        <v>66.5225</v>
      </c>
    </row>
    <row r="37" spans="4:6" ht="12.75">
      <c r="D37" s="27" t="s">
        <v>268</v>
      </c>
      <c r="F37" s="33">
        <v>-5.36</v>
      </c>
    </row>
    <row r="38" spans="1:37" ht="12.75">
      <c r="A38" s="11"/>
      <c r="B38" s="23"/>
      <c r="C38" s="23" t="s">
        <v>47</v>
      </c>
      <c r="D38" s="23" t="s">
        <v>269</v>
      </c>
      <c r="E38" s="11" t="s">
        <v>6</v>
      </c>
      <c r="F38" s="11" t="s">
        <v>6</v>
      </c>
      <c r="G38" s="11" t="s">
        <v>6</v>
      </c>
      <c r="H38" s="60">
        <f>SUM(H39:H42)</f>
        <v>0</v>
      </c>
      <c r="I38" s="60">
        <f>SUM(I39:I42)</f>
        <v>0</v>
      </c>
      <c r="J38" s="60">
        <f>H38+I38</f>
        <v>0</v>
      </c>
      <c r="K38" s="48"/>
      <c r="L38" s="60">
        <f>SUM(L39:L42)</f>
        <v>8.192448944999999</v>
      </c>
      <c r="M38" s="48"/>
      <c r="Y38" s="48"/>
      <c r="AI38" s="60">
        <f>SUM(Z39:Z42)</f>
        <v>0</v>
      </c>
      <c r="AJ38" s="60">
        <f>SUM(AA39:AA42)</f>
        <v>0</v>
      </c>
      <c r="AK38" s="60">
        <f>SUM(AB39:AB42)</f>
        <v>0</v>
      </c>
    </row>
    <row r="39" spans="1:48" ht="12.75">
      <c r="A39" s="10" t="s">
        <v>12</v>
      </c>
      <c r="B39" s="10"/>
      <c r="C39" s="10" t="s">
        <v>123</v>
      </c>
      <c r="D39" s="10" t="s">
        <v>270</v>
      </c>
      <c r="E39" s="10" t="s">
        <v>532</v>
      </c>
      <c r="F39" s="32">
        <v>72</v>
      </c>
      <c r="G39" s="32">
        <v>0</v>
      </c>
      <c r="H39" s="32">
        <f>F39*AE39</f>
        <v>0</v>
      </c>
      <c r="I39" s="32">
        <f>J39-H39</f>
        <v>0</v>
      </c>
      <c r="J39" s="32">
        <f>F39*G39</f>
        <v>0</v>
      </c>
      <c r="K39" s="32">
        <v>0.06561</v>
      </c>
      <c r="L39" s="32">
        <f>F39*K39</f>
        <v>4.72392</v>
      </c>
      <c r="M39" s="54" t="s">
        <v>557</v>
      </c>
      <c r="P39" s="57">
        <f>IF(AG39="5",J39,0)</f>
        <v>0</v>
      </c>
      <c r="R39" s="57">
        <f>IF(AG39="1",H39,0)</f>
        <v>0</v>
      </c>
      <c r="S39" s="57">
        <f>IF(AG39="1",I39,0)</f>
        <v>0</v>
      </c>
      <c r="T39" s="57">
        <f>IF(AG39="7",H39,0)</f>
        <v>0</v>
      </c>
      <c r="U39" s="57">
        <f>IF(AG39="7",I39,0)</f>
        <v>0</v>
      </c>
      <c r="V39" s="57">
        <f>IF(AG39="2",H39,0)</f>
        <v>0</v>
      </c>
      <c r="W39" s="57">
        <f>IF(AG39="2",I39,0)</f>
        <v>0</v>
      </c>
      <c r="X39" s="57">
        <f>IF(AG39="0",J39,0)</f>
        <v>0</v>
      </c>
      <c r="Y39" s="48"/>
      <c r="Z39" s="32">
        <f>IF(AD39=0,J39,0)</f>
        <v>0</v>
      </c>
      <c r="AA39" s="32">
        <f>IF(AD39=15,J39,0)</f>
        <v>0</v>
      </c>
      <c r="AB39" s="32">
        <f>IF(AD39=21,J39,0)</f>
        <v>0</v>
      </c>
      <c r="AD39" s="57">
        <v>21</v>
      </c>
      <c r="AE39" s="57">
        <f>G39*0.455621890547264</f>
        <v>0</v>
      </c>
      <c r="AF39" s="57">
        <f>G39*(1-0.455621890547264)</f>
        <v>0</v>
      </c>
      <c r="AG39" s="54" t="s">
        <v>7</v>
      </c>
      <c r="AM39" s="57">
        <f>F39*AE39</f>
        <v>0</v>
      </c>
      <c r="AN39" s="57">
        <f>F39*AF39</f>
        <v>0</v>
      </c>
      <c r="AO39" s="58" t="s">
        <v>569</v>
      </c>
      <c r="AP39" s="58" t="s">
        <v>592</v>
      </c>
      <c r="AQ39" s="48" t="s">
        <v>600</v>
      </c>
      <c r="AS39" s="57">
        <f>AM39+AN39</f>
        <v>0</v>
      </c>
      <c r="AT39" s="57">
        <f>G39/(100-AU39)*100</f>
        <v>0</v>
      </c>
      <c r="AU39" s="57">
        <v>0</v>
      </c>
      <c r="AV39" s="57">
        <f>L39</f>
        <v>4.72392</v>
      </c>
    </row>
    <row r="40" spans="4:6" ht="12.75">
      <c r="D40" s="27" t="s">
        <v>271</v>
      </c>
      <c r="F40" s="33">
        <v>22</v>
      </c>
    </row>
    <row r="41" spans="4:6" ht="12.75">
      <c r="D41" s="27" t="s">
        <v>272</v>
      </c>
      <c r="F41" s="33">
        <v>50</v>
      </c>
    </row>
    <row r="42" spans="1:48" ht="12.75">
      <c r="A42" s="10" t="s">
        <v>13</v>
      </c>
      <c r="B42" s="10"/>
      <c r="C42" s="10" t="s">
        <v>124</v>
      </c>
      <c r="D42" s="10" t="s">
        <v>273</v>
      </c>
      <c r="E42" s="10" t="s">
        <v>531</v>
      </c>
      <c r="F42" s="32">
        <v>262.1715</v>
      </c>
      <c r="G42" s="32">
        <v>0</v>
      </c>
      <c r="H42" s="32">
        <f>F42*AE42</f>
        <v>0</v>
      </c>
      <c r="I42" s="32">
        <f>J42-H42</f>
        <v>0</v>
      </c>
      <c r="J42" s="32">
        <f>F42*G42</f>
        <v>0</v>
      </c>
      <c r="K42" s="32">
        <v>0.01323</v>
      </c>
      <c r="L42" s="32">
        <f>F42*K42</f>
        <v>3.4685289449999996</v>
      </c>
      <c r="M42" s="54" t="s">
        <v>557</v>
      </c>
      <c r="P42" s="57">
        <f>IF(AG42="5",J42,0)</f>
        <v>0</v>
      </c>
      <c r="R42" s="57">
        <f>IF(AG42="1",H42,0)</f>
        <v>0</v>
      </c>
      <c r="S42" s="57">
        <f>IF(AG42="1",I42,0)</f>
        <v>0</v>
      </c>
      <c r="T42" s="57">
        <f>IF(AG42="7",H42,0)</f>
        <v>0</v>
      </c>
      <c r="U42" s="57">
        <f>IF(AG42="7",I42,0)</f>
        <v>0</v>
      </c>
      <c r="V42" s="57">
        <f>IF(AG42="2",H42,0)</f>
        <v>0</v>
      </c>
      <c r="W42" s="57">
        <f>IF(AG42="2",I42,0)</f>
        <v>0</v>
      </c>
      <c r="X42" s="57">
        <f>IF(AG42="0",J42,0)</f>
        <v>0</v>
      </c>
      <c r="Y42" s="48"/>
      <c r="Z42" s="32">
        <f>IF(AD42=0,J42,0)</f>
        <v>0</v>
      </c>
      <c r="AA42" s="32">
        <f>IF(AD42=15,J42,0)</f>
        <v>0</v>
      </c>
      <c r="AB42" s="32">
        <f>IF(AD42=21,J42,0)</f>
        <v>0</v>
      </c>
      <c r="AD42" s="57">
        <v>21</v>
      </c>
      <c r="AE42" s="57">
        <f>G42*0.360491796106438</f>
        <v>0</v>
      </c>
      <c r="AF42" s="57">
        <f>G42*(1-0.360491796106438)</f>
        <v>0</v>
      </c>
      <c r="AG42" s="54" t="s">
        <v>7</v>
      </c>
      <c r="AM42" s="57">
        <f>F42*AE42</f>
        <v>0</v>
      </c>
      <c r="AN42" s="57">
        <f>F42*AF42</f>
        <v>0</v>
      </c>
      <c r="AO42" s="58" t="s">
        <v>569</v>
      </c>
      <c r="AP42" s="58" t="s">
        <v>592</v>
      </c>
      <c r="AQ42" s="48" t="s">
        <v>600</v>
      </c>
      <c r="AS42" s="57">
        <f>AM42+AN42</f>
        <v>0</v>
      </c>
      <c r="AT42" s="57">
        <f>G42/(100-AU42)*100</f>
        <v>0</v>
      </c>
      <c r="AU42" s="57">
        <v>0</v>
      </c>
      <c r="AV42" s="57">
        <f>L42</f>
        <v>3.4685289449999996</v>
      </c>
    </row>
    <row r="43" spans="4:6" ht="12.75">
      <c r="D43" s="27" t="s">
        <v>274</v>
      </c>
      <c r="F43" s="33">
        <v>91.42</v>
      </c>
    </row>
    <row r="44" spans="4:6" ht="12.75">
      <c r="D44" s="27" t="s">
        <v>275</v>
      </c>
      <c r="F44" s="33">
        <v>108.5915</v>
      </c>
    </row>
    <row r="45" spans="4:6" ht="12.75">
      <c r="D45" s="27" t="s">
        <v>276</v>
      </c>
      <c r="F45" s="33">
        <v>62.16</v>
      </c>
    </row>
    <row r="46" spans="1:37" ht="12.75">
      <c r="A46" s="11"/>
      <c r="B46" s="23"/>
      <c r="C46" s="23" t="s">
        <v>49</v>
      </c>
      <c r="D46" s="23" t="s">
        <v>277</v>
      </c>
      <c r="E46" s="11" t="s">
        <v>6</v>
      </c>
      <c r="F46" s="11" t="s">
        <v>6</v>
      </c>
      <c r="G46" s="11" t="s">
        <v>6</v>
      </c>
      <c r="H46" s="60">
        <f>SUM(H47:H47)</f>
        <v>0</v>
      </c>
      <c r="I46" s="60">
        <f>SUM(I47:I47)</f>
        <v>0</v>
      </c>
      <c r="J46" s="60">
        <f>H46+I46</f>
        <v>0</v>
      </c>
      <c r="K46" s="48"/>
      <c r="L46" s="60">
        <f>SUM(L47:L47)</f>
        <v>0.03457</v>
      </c>
      <c r="M46" s="48"/>
      <c r="Y46" s="48"/>
      <c r="AI46" s="60">
        <f>SUM(Z47:Z47)</f>
        <v>0</v>
      </c>
      <c r="AJ46" s="60">
        <f>SUM(AA47:AA47)</f>
        <v>0</v>
      </c>
      <c r="AK46" s="60">
        <f>SUM(AB47:AB47)</f>
        <v>0</v>
      </c>
    </row>
    <row r="47" spans="1:48" ht="12.75">
      <c r="A47" s="10" t="s">
        <v>14</v>
      </c>
      <c r="B47" s="10"/>
      <c r="C47" s="10" t="s">
        <v>125</v>
      </c>
      <c r="D47" s="10" t="s">
        <v>278</v>
      </c>
      <c r="E47" s="10" t="s">
        <v>533</v>
      </c>
      <c r="F47" s="32">
        <v>1</v>
      </c>
      <c r="G47" s="32">
        <v>0</v>
      </c>
      <c r="H47" s="32">
        <f>F47*AE47</f>
        <v>0</v>
      </c>
      <c r="I47" s="32">
        <f>J47-H47</f>
        <v>0</v>
      </c>
      <c r="J47" s="32">
        <f>F47*G47</f>
        <v>0</v>
      </c>
      <c r="K47" s="32">
        <v>0.03457</v>
      </c>
      <c r="L47" s="32">
        <f>F47*K47</f>
        <v>0.03457</v>
      </c>
      <c r="M47" s="54" t="s">
        <v>557</v>
      </c>
      <c r="P47" s="57">
        <f>IF(AG47="5",J47,0)</f>
        <v>0</v>
      </c>
      <c r="R47" s="57">
        <f>IF(AG47="1",H47,0)</f>
        <v>0</v>
      </c>
      <c r="S47" s="57">
        <f>IF(AG47="1",I47,0)</f>
        <v>0</v>
      </c>
      <c r="T47" s="57">
        <f>IF(AG47="7",H47,0)</f>
        <v>0</v>
      </c>
      <c r="U47" s="57">
        <f>IF(AG47="7",I47,0)</f>
        <v>0</v>
      </c>
      <c r="V47" s="57">
        <f>IF(AG47="2",H47,0)</f>
        <v>0</v>
      </c>
      <c r="W47" s="57">
        <f>IF(AG47="2",I47,0)</f>
        <v>0</v>
      </c>
      <c r="X47" s="57">
        <f>IF(AG47="0",J47,0)</f>
        <v>0</v>
      </c>
      <c r="Y47" s="48"/>
      <c r="Z47" s="32">
        <f>IF(AD47=0,J47,0)</f>
        <v>0</v>
      </c>
      <c r="AA47" s="32">
        <f>IF(AD47=15,J47,0)</f>
        <v>0</v>
      </c>
      <c r="AB47" s="32">
        <f>IF(AD47=21,J47,0)</f>
        <v>0</v>
      </c>
      <c r="AD47" s="57">
        <v>21</v>
      </c>
      <c r="AE47" s="57">
        <f>G47*0.0449253012048193</f>
        <v>0</v>
      </c>
      <c r="AF47" s="57">
        <f>G47*(1-0.0449253012048193)</f>
        <v>0</v>
      </c>
      <c r="AG47" s="54" t="s">
        <v>7</v>
      </c>
      <c r="AM47" s="57">
        <f>F47*AE47</f>
        <v>0</v>
      </c>
      <c r="AN47" s="57">
        <f>F47*AF47</f>
        <v>0</v>
      </c>
      <c r="AO47" s="58" t="s">
        <v>570</v>
      </c>
      <c r="AP47" s="58" t="s">
        <v>592</v>
      </c>
      <c r="AQ47" s="48" t="s">
        <v>600</v>
      </c>
      <c r="AS47" s="57">
        <f>AM47+AN47</f>
        <v>0</v>
      </c>
      <c r="AT47" s="57">
        <f>G47/(100-AU47)*100</f>
        <v>0</v>
      </c>
      <c r="AU47" s="57">
        <v>0</v>
      </c>
      <c r="AV47" s="57">
        <f>L47</f>
        <v>0.03457</v>
      </c>
    </row>
    <row r="48" spans="4:6" ht="12.75">
      <c r="D48" s="27" t="s">
        <v>279</v>
      </c>
      <c r="F48" s="33">
        <v>1</v>
      </c>
    </row>
    <row r="49" spans="1:37" ht="12.75">
      <c r="A49" s="11"/>
      <c r="B49" s="23"/>
      <c r="C49" s="23" t="s">
        <v>66</v>
      </c>
      <c r="D49" s="23" t="s">
        <v>280</v>
      </c>
      <c r="E49" s="11" t="s">
        <v>6</v>
      </c>
      <c r="F49" s="11" t="s">
        <v>6</v>
      </c>
      <c r="G49" s="11" t="s">
        <v>6</v>
      </c>
      <c r="H49" s="60">
        <f>SUM(H50:H50)</f>
        <v>0</v>
      </c>
      <c r="I49" s="60">
        <f>SUM(I50:I50)</f>
        <v>0</v>
      </c>
      <c r="J49" s="60">
        <f>H49+I49</f>
        <v>0</v>
      </c>
      <c r="K49" s="48"/>
      <c r="L49" s="60">
        <f>SUM(L50:L50)</f>
        <v>0.3348</v>
      </c>
      <c r="M49" s="48"/>
      <c r="Y49" s="48"/>
      <c r="AI49" s="60">
        <f>SUM(Z50:Z50)</f>
        <v>0</v>
      </c>
      <c r="AJ49" s="60">
        <f>SUM(AA50:AA50)</f>
        <v>0</v>
      </c>
      <c r="AK49" s="60">
        <f>SUM(AB50:AB50)</f>
        <v>0</v>
      </c>
    </row>
    <row r="50" spans="1:48" ht="12.75">
      <c r="A50" s="10" t="s">
        <v>15</v>
      </c>
      <c r="B50" s="10"/>
      <c r="C50" s="10" t="s">
        <v>126</v>
      </c>
      <c r="D50" s="10" t="s">
        <v>281</v>
      </c>
      <c r="E50" s="10" t="s">
        <v>532</v>
      </c>
      <c r="F50" s="32">
        <v>72</v>
      </c>
      <c r="G50" s="32">
        <v>0</v>
      </c>
      <c r="H50" s="32">
        <f>F50*AE50</f>
        <v>0</v>
      </c>
      <c r="I50" s="32">
        <f>J50-H50</f>
        <v>0</v>
      </c>
      <c r="J50" s="32">
        <f>F50*G50</f>
        <v>0</v>
      </c>
      <c r="K50" s="32">
        <v>0.00465</v>
      </c>
      <c r="L50" s="32">
        <f>F50*K50</f>
        <v>0.3348</v>
      </c>
      <c r="M50" s="54" t="s">
        <v>557</v>
      </c>
      <c r="P50" s="57">
        <f>IF(AG50="5",J50,0)</f>
        <v>0</v>
      </c>
      <c r="R50" s="57">
        <f>IF(AG50="1",H50,0)</f>
        <v>0</v>
      </c>
      <c r="S50" s="57">
        <f>IF(AG50="1",I50,0)</f>
        <v>0</v>
      </c>
      <c r="T50" s="57">
        <f>IF(AG50="7",H50,0)</f>
        <v>0</v>
      </c>
      <c r="U50" s="57">
        <f>IF(AG50="7",I50,0)</f>
        <v>0</v>
      </c>
      <c r="V50" s="57">
        <f>IF(AG50="2",H50,0)</f>
        <v>0</v>
      </c>
      <c r="W50" s="57">
        <f>IF(AG50="2",I50,0)</f>
        <v>0</v>
      </c>
      <c r="X50" s="57">
        <f>IF(AG50="0",J50,0)</f>
        <v>0</v>
      </c>
      <c r="Y50" s="48"/>
      <c r="Z50" s="32">
        <f>IF(AD50=0,J50,0)</f>
        <v>0</v>
      </c>
      <c r="AA50" s="32">
        <f>IF(AD50=15,J50,0)</f>
        <v>0</v>
      </c>
      <c r="AB50" s="32">
        <f>IF(AD50=21,J50,0)</f>
        <v>0</v>
      </c>
      <c r="AD50" s="57">
        <v>21</v>
      </c>
      <c r="AE50" s="57">
        <f>G50*0.299109792284866</f>
        <v>0</v>
      </c>
      <c r="AF50" s="57">
        <f>G50*(1-0.299109792284866)</f>
        <v>0</v>
      </c>
      <c r="AG50" s="54" t="s">
        <v>7</v>
      </c>
      <c r="AM50" s="57">
        <f>F50*AE50</f>
        <v>0</v>
      </c>
      <c r="AN50" s="57">
        <f>F50*AF50</f>
        <v>0</v>
      </c>
      <c r="AO50" s="58" t="s">
        <v>571</v>
      </c>
      <c r="AP50" s="58" t="s">
        <v>593</v>
      </c>
      <c r="AQ50" s="48" t="s">
        <v>600</v>
      </c>
      <c r="AS50" s="57">
        <f>AM50+AN50</f>
        <v>0</v>
      </c>
      <c r="AT50" s="57">
        <f>G50/(100-AU50)*100</f>
        <v>0</v>
      </c>
      <c r="AU50" s="57">
        <v>0</v>
      </c>
      <c r="AV50" s="57">
        <f>L50</f>
        <v>0.3348</v>
      </c>
    </row>
    <row r="51" spans="4:6" ht="12.75">
      <c r="D51" s="27" t="s">
        <v>282</v>
      </c>
      <c r="F51" s="33">
        <v>72</v>
      </c>
    </row>
    <row r="52" spans="1:37" ht="12.75">
      <c r="A52" s="11"/>
      <c r="B52" s="23"/>
      <c r="C52" s="23" t="s">
        <v>67</v>
      </c>
      <c r="D52" s="23" t="s">
        <v>283</v>
      </c>
      <c r="E52" s="11" t="s">
        <v>6</v>
      </c>
      <c r="F52" s="11" t="s">
        <v>6</v>
      </c>
      <c r="G52" s="11" t="s">
        <v>6</v>
      </c>
      <c r="H52" s="60">
        <f>SUM(H53:H55)</f>
        <v>0</v>
      </c>
      <c r="I52" s="60">
        <f>SUM(I53:I55)</f>
        <v>0</v>
      </c>
      <c r="J52" s="60">
        <f>H52+I52</f>
        <v>0</v>
      </c>
      <c r="K52" s="48"/>
      <c r="L52" s="60">
        <f>SUM(L53:L55)</f>
        <v>21.41976603</v>
      </c>
      <c r="M52" s="48"/>
      <c r="Y52" s="48"/>
      <c r="AI52" s="60">
        <f>SUM(Z53:Z55)</f>
        <v>0</v>
      </c>
      <c r="AJ52" s="60">
        <f>SUM(AA53:AA55)</f>
        <v>0</v>
      </c>
      <c r="AK52" s="60">
        <f>SUM(AB53:AB55)</f>
        <v>0</v>
      </c>
    </row>
    <row r="53" spans="1:48" ht="12.75">
      <c r="A53" s="10" t="s">
        <v>16</v>
      </c>
      <c r="B53" s="10"/>
      <c r="C53" s="10" t="s">
        <v>127</v>
      </c>
      <c r="D53" s="10" t="s">
        <v>284</v>
      </c>
      <c r="E53" s="10" t="s">
        <v>531</v>
      </c>
      <c r="F53" s="32">
        <v>408.733</v>
      </c>
      <c r="G53" s="32">
        <v>0</v>
      </c>
      <c r="H53" s="32">
        <f>F53*AE53</f>
        <v>0</v>
      </c>
      <c r="I53" s="32">
        <f>J53-H53</f>
        <v>0</v>
      </c>
      <c r="J53" s="32">
        <f>F53*G53</f>
        <v>0</v>
      </c>
      <c r="K53" s="32">
        <v>0.04766</v>
      </c>
      <c r="L53" s="32">
        <f>F53*K53</f>
        <v>19.48021478</v>
      </c>
      <c r="M53" s="54" t="s">
        <v>557</v>
      </c>
      <c r="P53" s="57">
        <f>IF(AG53="5",J53,0)</f>
        <v>0</v>
      </c>
      <c r="R53" s="57">
        <f>IF(AG53="1",H53,0)</f>
        <v>0</v>
      </c>
      <c r="S53" s="57">
        <f>IF(AG53="1",I53,0)</f>
        <v>0</v>
      </c>
      <c r="T53" s="57">
        <f>IF(AG53="7",H53,0)</f>
        <v>0</v>
      </c>
      <c r="U53" s="57">
        <f>IF(AG53="7",I53,0)</f>
        <v>0</v>
      </c>
      <c r="V53" s="57">
        <f>IF(AG53="2",H53,0)</f>
        <v>0</v>
      </c>
      <c r="W53" s="57">
        <f>IF(AG53="2",I53,0)</f>
        <v>0</v>
      </c>
      <c r="X53" s="57">
        <f>IF(AG53="0",J53,0)</f>
        <v>0</v>
      </c>
      <c r="Y53" s="48"/>
      <c r="Z53" s="32">
        <f>IF(AD53=0,J53,0)</f>
        <v>0</v>
      </c>
      <c r="AA53" s="32">
        <f>IF(AD53=15,J53,0)</f>
        <v>0</v>
      </c>
      <c r="AB53" s="32">
        <f>IF(AD53=21,J53,0)</f>
        <v>0</v>
      </c>
      <c r="AD53" s="57">
        <v>21</v>
      </c>
      <c r="AE53" s="57">
        <f>G53*0.140499216214972</f>
        <v>0</v>
      </c>
      <c r="AF53" s="57">
        <f>G53*(1-0.140499216214972)</f>
        <v>0</v>
      </c>
      <c r="AG53" s="54" t="s">
        <v>7</v>
      </c>
      <c r="AM53" s="57">
        <f>F53*AE53</f>
        <v>0</v>
      </c>
      <c r="AN53" s="57">
        <f>F53*AF53</f>
        <v>0</v>
      </c>
      <c r="AO53" s="58" t="s">
        <v>572</v>
      </c>
      <c r="AP53" s="58" t="s">
        <v>593</v>
      </c>
      <c r="AQ53" s="48" t="s">
        <v>600</v>
      </c>
      <c r="AS53" s="57">
        <f>AM53+AN53</f>
        <v>0</v>
      </c>
      <c r="AT53" s="57">
        <f>G53/(100-AU53)*100</f>
        <v>0</v>
      </c>
      <c r="AU53" s="57">
        <v>0</v>
      </c>
      <c r="AV53" s="57">
        <f>L53</f>
        <v>19.48021478</v>
      </c>
    </row>
    <row r="54" spans="4:6" ht="12.75">
      <c r="D54" s="27" t="s">
        <v>285</v>
      </c>
      <c r="F54" s="33">
        <v>408.733</v>
      </c>
    </row>
    <row r="55" spans="1:48" ht="12.75">
      <c r="A55" s="10" t="s">
        <v>17</v>
      </c>
      <c r="B55" s="10"/>
      <c r="C55" s="10" t="s">
        <v>128</v>
      </c>
      <c r="D55" s="10" t="s">
        <v>286</v>
      </c>
      <c r="E55" s="10" t="s">
        <v>531</v>
      </c>
      <c r="F55" s="32">
        <v>36.125</v>
      </c>
      <c r="G55" s="32">
        <v>0</v>
      </c>
      <c r="H55" s="32">
        <f>F55*AE55</f>
        <v>0</v>
      </c>
      <c r="I55" s="32">
        <f>J55-H55</f>
        <v>0</v>
      </c>
      <c r="J55" s="32">
        <f>F55*G55</f>
        <v>0</v>
      </c>
      <c r="K55" s="32">
        <v>0.05369</v>
      </c>
      <c r="L55" s="32">
        <f>F55*K55</f>
        <v>1.93955125</v>
      </c>
      <c r="M55" s="54" t="s">
        <v>557</v>
      </c>
      <c r="P55" s="57">
        <f>IF(AG55="5",J55,0)</f>
        <v>0</v>
      </c>
      <c r="R55" s="57">
        <f>IF(AG55="1",H55,0)</f>
        <v>0</v>
      </c>
      <c r="S55" s="57">
        <f>IF(AG55="1",I55,0)</f>
        <v>0</v>
      </c>
      <c r="T55" s="57">
        <f>IF(AG55="7",H55,0)</f>
        <v>0</v>
      </c>
      <c r="U55" s="57">
        <f>IF(AG55="7",I55,0)</f>
        <v>0</v>
      </c>
      <c r="V55" s="57">
        <f>IF(AG55="2",H55,0)</f>
        <v>0</v>
      </c>
      <c r="W55" s="57">
        <f>IF(AG55="2",I55,0)</f>
        <v>0</v>
      </c>
      <c r="X55" s="57">
        <f>IF(AG55="0",J55,0)</f>
        <v>0</v>
      </c>
      <c r="Y55" s="48"/>
      <c r="Z55" s="32">
        <f>IF(AD55=0,J55,0)</f>
        <v>0</v>
      </c>
      <c r="AA55" s="32">
        <f>IF(AD55=15,J55,0)</f>
        <v>0</v>
      </c>
      <c r="AB55" s="32">
        <f>IF(AD55=21,J55,0)</f>
        <v>0</v>
      </c>
      <c r="AD55" s="57">
        <v>21</v>
      </c>
      <c r="AE55" s="57">
        <f>G55*0.16492745023054</f>
        <v>0</v>
      </c>
      <c r="AF55" s="57">
        <f>G55*(1-0.16492745023054)</f>
        <v>0</v>
      </c>
      <c r="AG55" s="54" t="s">
        <v>7</v>
      </c>
      <c r="AM55" s="57">
        <f>F55*AE55</f>
        <v>0</v>
      </c>
      <c r="AN55" s="57">
        <f>F55*AF55</f>
        <v>0</v>
      </c>
      <c r="AO55" s="58" t="s">
        <v>572</v>
      </c>
      <c r="AP55" s="58" t="s">
        <v>593</v>
      </c>
      <c r="AQ55" s="48" t="s">
        <v>600</v>
      </c>
      <c r="AS55" s="57">
        <f>AM55+AN55</f>
        <v>0</v>
      </c>
      <c r="AT55" s="57">
        <f>G55/(100-AU55)*100</f>
        <v>0</v>
      </c>
      <c r="AU55" s="57">
        <v>0</v>
      </c>
      <c r="AV55" s="57">
        <f>L55</f>
        <v>1.93955125</v>
      </c>
    </row>
    <row r="56" spans="4:6" ht="12.75">
      <c r="D56" s="27" t="s">
        <v>287</v>
      </c>
      <c r="F56" s="33">
        <v>31.5</v>
      </c>
    </row>
    <row r="57" spans="4:6" ht="12.75">
      <c r="D57" s="27" t="s">
        <v>288</v>
      </c>
      <c r="F57" s="33">
        <v>2</v>
      </c>
    </row>
    <row r="58" spans="4:6" ht="12.75">
      <c r="D58" s="27" t="s">
        <v>289</v>
      </c>
      <c r="F58" s="33">
        <v>1.275</v>
      </c>
    </row>
    <row r="59" spans="4:6" ht="12.75">
      <c r="D59" s="27" t="s">
        <v>290</v>
      </c>
      <c r="F59" s="33">
        <v>1.35</v>
      </c>
    </row>
    <row r="60" spans="1:37" ht="12.75">
      <c r="A60" s="11"/>
      <c r="B60" s="23"/>
      <c r="C60" s="23" t="s">
        <v>68</v>
      </c>
      <c r="D60" s="23" t="s">
        <v>291</v>
      </c>
      <c r="E60" s="11" t="s">
        <v>6</v>
      </c>
      <c r="F60" s="11" t="s">
        <v>6</v>
      </c>
      <c r="G60" s="11" t="s">
        <v>6</v>
      </c>
      <c r="H60" s="60">
        <f>SUM(H61:H65)</f>
        <v>0</v>
      </c>
      <c r="I60" s="60">
        <f>SUM(I61:I65)</f>
        <v>0</v>
      </c>
      <c r="J60" s="60">
        <f>H60+I60</f>
        <v>0</v>
      </c>
      <c r="K60" s="48"/>
      <c r="L60" s="60">
        <f>SUM(L61:L65)</f>
        <v>7.973109844000001</v>
      </c>
      <c r="M60" s="48"/>
      <c r="Y60" s="48"/>
      <c r="AI60" s="60">
        <f>SUM(Z61:Z65)</f>
        <v>0</v>
      </c>
      <c r="AJ60" s="60">
        <f>SUM(AA61:AA65)</f>
        <v>0</v>
      </c>
      <c r="AK60" s="60">
        <f>SUM(AB61:AB65)</f>
        <v>0</v>
      </c>
    </row>
    <row r="61" spans="1:48" ht="12.75">
      <c r="A61" s="10" t="s">
        <v>18</v>
      </c>
      <c r="B61" s="10"/>
      <c r="C61" s="10" t="s">
        <v>129</v>
      </c>
      <c r="D61" s="10" t="s">
        <v>292</v>
      </c>
      <c r="E61" s="10" t="s">
        <v>531</v>
      </c>
      <c r="F61" s="32">
        <v>149.975</v>
      </c>
      <c r="G61" s="32">
        <v>0</v>
      </c>
      <c r="H61" s="32">
        <f>F61*AE61</f>
        <v>0</v>
      </c>
      <c r="I61" s="32">
        <f>J61-H61</f>
        <v>0</v>
      </c>
      <c r="J61" s="32">
        <f>F61*G61</f>
        <v>0</v>
      </c>
      <c r="K61" s="32">
        <v>0.05258</v>
      </c>
      <c r="L61" s="32">
        <f>F61*K61</f>
        <v>7.8856855</v>
      </c>
      <c r="M61" s="54" t="s">
        <v>557</v>
      </c>
      <c r="P61" s="57">
        <f>IF(AG61="5",J61,0)</f>
        <v>0</v>
      </c>
      <c r="R61" s="57">
        <f>IF(AG61="1",H61,0)</f>
        <v>0</v>
      </c>
      <c r="S61" s="57">
        <f>IF(AG61="1",I61,0)</f>
        <v>0</v>
      </c>
      <c r="T61" s="57">
        <f>IF(AG61="7",H61,0)</f>
        <v>0</v>
      </c>
      <c r="U61" s="57">
        <f>IF(AG61="7",I61,0)</f>
        <v>0</v>
      </c>
      <c r="V61" s="57">
        <f>IF(AG61="2",H61,0)</f>
        <v>0</v>
      </c>
      <c r="W61" s="57">
        <f>IF(AG61="2",I61,0)</f>
        <v>0</v>
      </c>
      <c r="X61" s="57">
        <f>IF(AG61="0",J61,0)</f>
        <v>0</v>
      </c>
      <c r="Y61" s="48"/>
      <c r="Z61" s="32">
        <f>IF(AD61=0,J61,0)</f>
        <v>0</v>
      </c>
      <c r="AA61" s="32">
        <f>IF(AD61=15,J61,0)</f>
        <v>0</v>
      </c>
      <c r="AB61" s="32">
        <f>IF(AD61=21,J61,0)</f>
        <v>0</v>
      </c>
      <c r="AD61" s="57">
        <v>21</v>
      </c>
      <c r="AE61" s="57">
        <f>G61*0.113908037246971</f>
        <v>0</v>
      </c>
      <c r="AF61" s="57">
        <f>G61*(1-0.113908037246971)</f>
        <v>0</v>
      </c>
      <c r="AG61" s="54" t="s">
        <v>7</v>
      </c>
      <c r="AM61" s="57">
        <f>F61*AE61</f>
        <v>0</v>
      </c>
      <c r="AN61" s="57">
        <f>F61*AF61</f>
        <v>0</v>
      </c>
      <c r="AO61" s="58" t="s">
        <v>573</v>
      </c>
      <c r="AP61" s="58" t="s">
        <v>593</v>
      </c>
      <c r="AQ61" s="48" t="s">
        <v>600</v>
      </c>
      <c r="AS61" s="57">
        <f>AM61+AN61</f>
        <v>0</v>
      </c>
      <c r="AT61" s="57">
        <f>G61/(100-AU61)*100</f>
        <v>0</v>
      </c>
      <c r="AU61" s="57">
        <v>0</v>
      </c>
      <c r="AV61" s="57">
        <f>L61</f>
        <v>7.8856855</v>
      </c>
    </row>
    <row r="62" spans="4:6" ht="12.75">
      <c r="D62" s="27" t="s">
        <v>293</v>
      </c>
      <c r="F62" s="33">
        <v>149.975</v>
      </c>
    </row>
    <row r="63" spans="1:48" ht="12.75">
      <c r="A63" s="10" t="s">
        <v>19</v>
      </c>
      <c r="B63" s="10"/>
      <c r="C63" s="10" t="s">
        <v>130</v>
      </c>
      <c r="D63" s="10" t="s">
        <v>294</v>
      </c>
      <c r="E63" s="10" t="s">
        <v>531</v>
      </c>
      <c r="F63" s="32">
        <v>168.6</v>
      </c>
      <c r="G63" s="32">
        <v>0</v>
      </c>
      <c r="H63" s="32">
        <f>F63*AE63</f>
        <v>0</v>
      </c>
      <c r="I63" s="32">
        <f>J63-H63</f>
        <v>0</v>
      </c>
      <c r="J63" s="32">
        <f>F63*G63</f>
        <v>0</v>
      </c>
      <c r="K63" s="32">
        <v>0.00051</v>
      </c>
      <c r="L63" s="32">
        <f>F63*K63</f>
        <v>0.085986</v>
      </c>
      <c r="M63" s="54" t="s">
        <v>557</v>
      </c>
      <c r="P63" s="57">
        <f>IF(AG63="5",J63,0)</f>
        <v>0</v>
      </c>
      <c r="R63" s="57">
        <f>IF(AG63="1",H63,0)</f>
        <v>0</v>
      </c>
      <c r="S63" s="57">
        <f>IF(AG63="1",I63,0)</f>
        <v>0</v>
      </c>
      <c r="T63" s="57">
        <f>IF(AG63="7",H63,0)</f>
        <v>0</v>
      </c>
      <c r="U63" s="57">
        <f>IF(AG63="7",I63,0)</f>
        <v>0</v>
      </c>
      <c r="V63" s="57">
        <f>IF(AG63="2",H63,0)</f>
        <v>0</v>
      </c>
      <c r="W63" s="57">
        <f>IF(AG63="2",I63,0)</f>
        <v>0</v>
      </c>
      <c r="X63" s="57">
        <f>IF(AG63="0",J63,0)</f>
        <v>0</v>
      </c>
      <c r="Y63" s="48"/>
      <c r="Z63" s="32">
        <f>IF(AD63=0,J63,0)</f>
        <v>0</v>
      </c>
      <c r="AA63" s="32">
        <f>IF(AD63=15,J63,0)</f>
        <v>0</v>
      </c>
      <c r="AB63" s="32">
        <f>IF(AD63=21,J63,0)</f>
        <v>0</v>
      </c>
      <c r="AD63" s="57">
        <v>21</v>
      </c>
      <c r="AE63" s="57">
        <f>G63*0.506603773584906</f>
        <v>0</v>
      </c>
      <c r="AF63" s="57">
        <f>G63*(1-0.506603773584906)</f>
        <v>0</v>
      </c>
      <c r="AG63" s="54" t="s">
        <v>7</v>
      </c>
      <c r="AM63" s="57">
        <f>F63*AE63</f>
        <v>0</v>
      </c>
      <c r="AN63" s="57">
        <f>F63*AF63</f>
        <v>0</v>
      </c>
      <c r="AO63" s="58" t="s">
        <v>573</v>
      </c>
      <c r="AP63" s="58" t="s">
        <v>593</v>
      </c>
      <c r="AQ63" s="48" t="s">
        <v>600</v>
      </c>
      <c r="AS63" s="57">
        <f>AM63+AN63</f>
        <v>0</v>
      </c>
      <c r="AT63" s="57">
        <f>G63/(100-AU63)*100</f>
        <v>0</v>
      </c>
      <c r="AU63" s="57">
        <v>0</v>
      </c>
      <c r="AV63" s="57">
        <f>L63</f>
        <v>0.085986</v>
      </c>
    </row>
    <row r="64" spans="4:6" ht="12.75">
      <c r="D64" s="27" t="s">
        <v>295</v>
      </c>
      <c r="F64" s="33">
        <v>168.6</v>
      </c>
    </row>
    <row r="65" spans="1:48" ht="12.75">
      <c r="A65" s="10" t="s">
        <v>20</v>
      </c>
      <c r="B65" s="10"/>
      <c r="C65" s="10" t="s">
        <v>131</v>
      </c>
      <c r="D65" s="10" t="s">
        <v>296</v>
      </c>
      <c r="E65" s="10" t="s">
        <v>531</v>
      </c>
      <c r="F65" s="32">
        <v>35.9586</v>
      </c>
      <c r="G65" s="32">
        <v>0</v>
      </c>
      <c r="H65" s="32">
        <f>F65*AE65</f>
        <v>0</v>
      </c>
      <c r="I65" s="32">
        <f>J65-H65</f>
        <v>0</v>
      </c>
      <c r="J65" s="32">
        <f>F65*G65</f>
        <v>0</v>
      </c>
      <c r="K65" s="32">
        <v>4E-05</v>
      </c>
      <c r="L65" s="32">
        <f>F65*K65</f>
        <v>0.001438344</v>
      </c>
      <c r="M65" s="54" t="s">
        <v>557</v>
      </c>
      <c r="P65" s="57">
        <f>IF(AG65="5",J65,0)</f>
        <v>0</v>
      </c>
      <c r="R65" s="57">
        <f>IF(AG65="1",H65,0)</f>
        <v>0</v>
      </c>
      <c r="S65" s="57">
        <f>IF(AG65="1",I65,0)</f>
        <v>0</v>
      </c>
      <c r="T65" s="57">
        <f>IF(AG65="7",H65,0)</f>
        <v>0</v>
      </c>
      <c r="U65" s="57">
        <f>IF(AG65="7",I65,0)</f>
        <v>0</v>
      </c>
      <c r="V65" s="57">
        <f>IF(AG65="2",H65,0)</f>
        <v>0</v>
      </c>
      <c r="W65" s="57">
        <f>IF(AG65="2",I65,0)</f>
        <v>0</v>
      </c>
      <c r="X65" s="57">
        <f>IF(AG65="0",J65,0)</f>
        <v>0</v>
      </c>
      <c r="Y65" s="48"/>
      <c r="Z65" s="32">
        <f>IF(AD65=0,J65,0)</f>
        <v>0</v>
      </c>
      <c r="AA65" s="32">
        <f>IF(AD65=15,J65,0)</f>
        <v>0</v>
      </c>
      <c r="AB65" s="32">
        <f>IF(AD65=21,J65,0)</f>
        <v>0</v>
      </c>
      <c r="AD65" s="57">
        <v>21</v>
      </c>
      <c r="AE65" s="57">
        <f>G65*0.328026788851234</f>
        <v>0</v>
      </c>
      <c r="AF65" s="57">
        <f>G65*(1-0.328026788851234)</f>
        <v>0</v>
      </c>
      <c r="AG65" s="54" t="s">
        <v>7</v>
      </c>
      <c r="AM65" s="57">
        <f>F65*AE65</f>
        <v>0</v>
      </c>
      <c r="AN65" s="57">
        <f>F65*AF65</f>
        <v>0</v>
      </c>
      <c r="AO65" s="58" t="s">
        <v>573</v>
      </c>
      <c r="AP65" s="58" t="s">
        <v>593</v>
      </c>
      <c r="AQ65" s="48" t="s">
        <v>600</v>
      </c>
      <c r="AS65" s="57">
        <f>AM65+AN65</f>
        <v>0</v>
      </c>
      <c r="AT65" s="57">
        <f>G65/(100-AU65)*100</f>
        <v>0</v>
      </c>
      <c r="AU65" s="57">
        <v>0</v>
      </c>
      <c r="AV65" s="57">
        <f>L65</f>
        <v>0.001438344</v>
      </c>
    </row>
    <row r="66" spans="4:6" ht="12.75">
      <c r="D66" s="27" t="s">
        <v>297</v>
      </c>
      <c r="F66" s="33">
        <v>31.5</v>
      </c>
    </row>
    <row r="67" spans="4:6" ht="12.75">
      <c r="D67" s="27" t="s">
        <v>298</v>
      </c>
      <c r="F67" s="33">
        <v>1.4161</v>
      </c>
    </row>
    <row r="68" spans="4:6" ht="12.75">
      <c r="D68" s="27" t="s">
        <v>299</v>
      </c>
      <c r="F68" s="33">
        <v>0.7225</v>
      </c>
    </row>
    <row r="69" spans="4:6" ht="12.75">
      <c r="D69" s="27" t="s">
        <v>300</v>
      </c>
      <c r="F69" s="33">
        <v>0.81</v>
      </c>
    </row>
    <row r="70" spans="4:6" ht="12.75">
      <c r="D70" s="27" t="s">
        <v>301</v>
      </c>
      <c r="F70" s="33">
        <v>1.51</v>
      </c>
    </row>
    <row r="71" spans="1:37" ht="12.75">
      <c r="A71" s="11"/>
      <c r="B71" s="23"/>
      <c r="C71" s="23" t="s">
        <v>69</v>
      </c>
      <c r="D71" s="23" t="s">
        <v>302</v>
      </c>
      <c r="E71" s="11" t="s">
        <v>6</v>
      </c>
      <c r="F71" s="11" t="s">
        <v>6</v>
      </c>
      <c r="G71" s="11" t="s">
        <v>6</v>
      </c>
      <c r="H71" s="60">
        <f>SUM(H72:H83)</f>
        <v>0</v>
      </c>
      <c r="I71" s="60">
        <f>SUM(I72:I83)</f>
        <v>0</v>
      </c>
      <c r="J71" s="60">
        <f>H71+I71</f>
        <v>0</v>
      </c>
      <c r="K71" s="48"/>
      <c r="L71" s="60">
        <f>SUM(L72:L83)</f>
        <v>166.600699135</v>
      </c>
      <c r="M71" s="48"/>
      <c r="Y71" s="48"/>
      <c r="AI71" s="60">
        <f>SUM(Z72:Z83)</f>
        <v>0</v>
      </c>
      <c r="AJ71" s="60">
        <f>SUM(AA72:AA83)</f>
        <v>0</v>
      </c>
      <c r="AK71" s="60">
        <f>SUM(AB72:AB83)</f>
        <v>0</v>
      </c>
    </row>
    <row r="72" spans="1:48" ht="12.75">
      <c r="A72" s="10" t="s">
        <v>21</v>
      </c>
      <c r="B72" s="10"/>
      <c r="C72" s="10" t="s">
        <v>132</v>
      </c>
      <c r="D72" s="10" t="s">
        <v>303</v>
      </c>
      <c r="E72" s="10" t="s">
        <v>530</v>
      </c>
      <c r="F72" s="32">
        <v>25.70834</v>
      </c>
      <c r="G72" s="32">
        <v>0</v>
      </c>
      <c r="H72" s="32">
        <f>F72*AE72</f>
        <v>0</v>
      </c>
      <c r="I72" s="32">
        <f>J72-H72</f>
        <v>0</v>
      </c>
      <c r="J72" s="32">
        <f>F72*G72</f>
        <v>0</v>
      </c>
      <c r="K72" s="32">
        <v>2.525</v>
      </c>
      <c r="L72" s="32">
        <f>F72*K72</f>
        <v>64.9135585</v>
      </c>
      <c r="M72" s="54" t="s">
        <v>557</v>
      </c>
      <c r="P72" s="57">
        <f>IF(AG72="5",J72,0)</f>
        <v>0</v>
      </c>
      <c r="R72" s="57">
        <f>IF(AG72="1",H72,0)</f>
        <v>0</v>
      </c>
      <c r="S72" s="57">
        <f>IF(AG72="1",I72,0)</f>
        <v>0</v>
      </c>
      <c r="T72" s="57">
        <f>IF(AG72="7",H72,0)</f>
        <v>0</v>
      </c>
      <c r="U72" s="57">
        <f>IF(AG72="7",I72,0)</f>
        <v>0</v>
      </c>
      <c r="V72" s="57">
        <f>IF(AG72="2",H72,0)</f>
        <v>0</v>
      </c>
      <c r="W72" s="57">
        <f>IF(AG72="2",I72,0)</f>
        <v>0</v>
      </c>
      <c r="X72" s="57">
        <f>IF(AG72="0",J72,0)</f>
        <v>0</v>
      </c>
      <c r="Y72" s="48"/>
      <c r="Z72" s="32">
        <f>IF(AD72=0,J72,0)</f>
        <v>0</v>
      </c>
      <c r="AA72" s="32">
        <f>IF(AD72=15,J72,0)</f>
        <v>0</v>
      </c>
      <c r="AB72" s="32">
        <f>IF(AD72=21,J72,0)</f>
        <v>0</v>
      </c>
      <c r="AD72" s="57">
        <v>21</v>
      </c>
      <c r="AE72" s="57">
        <f>G72*0.677815937980071</f>
        <v>0</v>
      </c>
      <c r="AF72" s="57">
        <f>G72*(1-0.677815937980071)</f>
        <v>0</v>
      </c>
      <c r="AG72" s="54" t="s">
        <v>7</v>
      </c>
      <c r="AM72" s="57">
        <f>F72*AE72</f>
        <v>0</v>
      </c>
      <c r="AN72" s="57">
        <f>F72*AF72</f>
        <v>0</v>
      </c>
      <c r="AO72" s="58" t="s">
        <v>574</v>
      </c>
      <c r="AP72" s="58" t="s">
        <v>593</v>
      </c>
      <c r="AQ72" s="48" t="s">
        <v>600</v>
      </c>
      <c r="AS72" s="57">
        <f>AM72+AN72</f>
        <v>0</v>
      </c>
      <c r="AT72" s="57">
        <f>G72/(100-AU72)*100</f>
        <v>0</v>
      </c>
      <c r="AU72" s="57">
        <v>0</v>
      </c>
      <c r="AV72" s="57">
        <f>L72</f>
        <v>64.9135585</v>
      </c>
    </row>
    <row r="73" spans="4:6" ht="12.75">
      <c r="D73" s="27" t="s">
        <v>304</v>
      </c>
      <c r="F73" s="33">
        <v>15.00875</v>
      </c>
    </row>
    <row r="74" spans="4:6" ht="12.75">
      <c r="D74" s="27" t="s">
        <v>305</v>
      </c>
      <c r="F74" s="33">
        <v>10.69959</v>
      </c>
    </row>
    <row r="75" spans="1:48" ht="12.75">
      <c r="A75" s="10" t="s">
        <v>22</v>
      </c>
      <c r="B75" s="10"/>
      <c r="C75" s="10" t="s">
        <v>133</v>
      </c>
      <c r="D75" s="10" t="s">
        <v>306</v>
      </c>
      <c r="E75" s="10" t="s">
        <v>529</v>
      </c>
      <c r="F75" s="32">
        <v>1.08691</v>
      </c>
      <c r="G75" s="32">
        <v>0</v>
      </c>
      <c r="H75" s="32">
        <f>F75*AE75</f>
        <v>0</v>
      </c>
      <c r="I75" s="32">
        <f>J75-H75</f>
        <v>0</v>
      </c>
      <c r="J75" s="32">
        <f>F75*G75</f>
        <v>0</v>
      </c>
      <c r="K75" s="32">
        <v>1.0185</v>
      </c>
      <c r="L75" s="32">
        <f>F75*K75</f>
        <v>1.107017835</v>
      </c>
      <c r="M75" s="54" t="s">
        <v>557</v>
      </c>
      <c r="P75" s="57">
        <f>IF(AG75="5",J75,0)</f>
        <v>0</v>
      </c>
      <c r="R75" s="57">
        <f>IF(AG75="1",H75,0)</f>
        <v>0</v>
      </c>
      <c r="S75" s="57">
        <f>IF(AG75="1",I75,0)</f>
        <v>0</v>
      </c>
      <c r="T75" s="57">
        <f>IF(AG75="7",H75,0)</f>
        <v>0</v>
      </c>
      <c r="U75" s="57">
        <f>IF(AG75="7",I75,0)</f>
        <v>0</v>
      </c>
      <c r="V75" s="57">
        <f>IF(AG75="2",H75,0)</f>
        <v>0</v>
      </c>
      <c r="W75" s="57">
        <f>IF(AG75="2",I75,0)</f>
        <v>0</v>
      </c>
      <c r="X75" s="57">
        <f>IF(AG75="0",J75,0)</f>
        <v>0</v>
      </c>
      <c r="Y75" s="48"/>
      <c r="Z75" s="32">
        <f>IF(AD75=0,J75,0)</f>
        <v>0</v>
      </c>
      <c r="AA75" s="32">
        <f>IF(AD75=15,J75,0)</f>
        <v>0</v>
      </c>
      <c r="AB75" s="32">
        <f>IF(AD75=21,J75,0)</f>
        <v>0</v>
      </c>
      <c r="AD75" s="57">
        <v>21</v>
      </c>
      <c r="AE75" s="57">
        <f>G75*0.775944862020277</f>
        <v>0</v>
      </c>
      <c r="AF75" s="57">
        <f>G75*(1-0.775944862020277)</f>
        <v>0</v>
      </c>
      <c r="AG75" s="54" t="s">
        <v>7</v>
      </c>
      <c r="AM75" s="57">
        <f>F75*AE75</f>
        <v>0</v>
      </c>
      <c r="AN75" s="57">
        <f>F75*AF75</f>
        <v>0</v>
      </c>
      <c r="AO75" s="58" t="s">
        <v>574</v>
      </c>
      <c r="AP75" s="58" t="s">
        <v>593</v>
      </c>
      <c r="AQ75" s="48" t="s">
        <v>600</v>
      </c>
      <c r="AS75" s="57">
        <f>AM75+AN75</f>
        <v>0</v>
      </c>
      <c r="AT75" s="57">
        <f>G75/(100-AU75)*100</f>
        <v>0</v>
      </c>
      <c r="AU75" s="57">
        <v>0</v>
      </c>
      <c r="AV75" s="57">
        <f>L75</f>
        <v>1.107017835</v>
      </c>
    </row>
    <row r="76" spans="4:6" ht="12.75">
      <c r="D76" s="27" t="s">
        <v>307</v>
      </c>
      <c r="F76" s="33">
        <v>1.08691</v>
      </c>
    </row>
    <row r="77" spans="1:48" ht="12.75">
      <c r="A77" s="10" t="s">
        <v>23</v>
      </c>
      <c r="B77" s="10"/>
      <c r="C77" s="10" t="s">
        <v>134</v>
      </c>
      <c r="D77" s="10" t="s">
        <v>308</v>
      </c>
      <c r="E77" s="10" t="s">
        <v>529</v>
      </c>
      <c r="F77" s="32">
        <v>0.77568</v>
      </c>
      <c r="G77" s="32">
        <v>0</v>
      </c>
      <c r="H77" s="32">
        <f>F77*AE77</f>
        <v>0</v>
      </c>
      <c r="I77" s="32">
        <f>J77-H77</f>
        <v>0</v>
      </c>
      <c r="J77" s="32">
        <f>F77*G77</f>
        <v>0</v>
      </c>
      <c r="K77" s="32">
        <v>1.06625</v>
      </c>
      <c r="L77" s="32">
        <f>F77*K77</f>
        <v>0.8270687999999999</v>
      </c>
      <c r="M77" s="54" t="s">
        <v>557</v>
      </c>
      <c r="P77" s="57">
        <f>IF(AG77="5",J77,0)</f>
        <v>0</v>
      </c>
      <c r="R77" s="57">
        <f>IF(AG77="1",H77,0)</f>
        <v>0</v>
      </c>
      <c r="S77" s="57">
        <f>IF(AG77="1",I77,0)</f>
        <v>0</v>
      </c>
      <c r="T77" s="57">
        <f>IF(AG77="7",H77,0)</f>
        <v>0</v>
      </c>
      <c r="U77" s="57">
        <f>IF(AG77="7",I77,0)</f>
        <v>0</v>
      </c>
      <c r="V77" s="57">
        <f>IF(AG77="2",H77,0)</f>
        <v>0</v>
      </c>
      <c r="W77" s="57">
        <f>IF(AG77="2",I77,0)</f>
        <v>0</v>
      </c>
      <c r="X77" s="57">
        <f>IF(AG77="0",J77,0)</f>
        <v>0</v>
      </c>
      <c r="Y77" s="48"/>
      <c r="Z77" s="32">
        <f>IF(AD77=0,J77,0)</f>
        <v>0</v>
      </c>
      <c r="AA77" s="32">
        <f>IF(AD77=15,J77,0)</f>
        <v>0</v>
      </c>
      <c r="AB77" s="32">
        <f>IF(AD77=21,J77,0)</f>
        <v>0</v>
      </c>
      <c r="AD77" s="57">
        <v>21</v>
      </c>
      <c r="AE77" s="57">
        <f>G77*0.800516291781957</f>
        <v>0</v>
      </c>
      <c r="AF77" s="57">
        <f>G77*(1-0.800516291781957)</f>
        <v>0</v>
      </c>
      <c r="AG77" s="54" t="s">
        <v>7</v>
      </c>
      <c r="AM77" s="57">
        <f>F77*AE77</f>
        <v>0</v>
      </c>
      <c r="AN77" s="57">
        <f>F77*AF77</f>
        <v>0</v>
      </c>
      <c r="AO77" s="58" t="s">
        <v>574</v>
      </c>
      <c r="AP77" s="58" t="s">
        <v>593</v>
      </c>
      <c r="AQ77" s="48" t="s">
        <v>600</v>
      </c>
      <c r="AS77" s="57">
        <f>AM77+AN77</f>
        <v>0</v>
      </c>
      <c r="AT77" s="57">
        <f>G77/(100-AU77)*100</f>
        <v>0</v>
      </c>
      <c r="AU77" s="57">
        <v>0</v>
      </c>
      <c r="AV77" s="57">
        <f>L77</f>
        <v>0.8270687999999999</v>
      </c>
    </row>
    <row r="78" spans="4:6" ht="12.75">
      <c r="D78" s="27" t="s">
        <v>309</v>
      </c>
      <c r="F78" s="33">
        <v>0.77568</v>
      </c>
    </row>
    <row r="79" spans="1:48" ht="12.75">
      <c r="A79" s="10" t="s">
        <v>24</v>
      </c>
      <c r="B79" s="10"/>
      <c r="C79" s="10" t="s">
        <v>135</v>
      </c>
      <c r="D79" s="10" t="s">
        <v>310</v>
      </c>
      <c r="E79" s="10" t="s">
        <v>530</v>
      </c>
      <c r="F79" s="32">
        <v>25.708</v>
      </c>
      <c r="G79" s="32">
        <v>0</v>
      </c>
      <c r="H79" s="32">
        <f>F79*AE79</f>
        <v>0</v>
      </c>
      <c r="I79" s="32">
        <f>J79-H79</f>
        <v>0</v>
      </c>
      <c r="J79" s="32">
        <f>F79*G79</f>
        <v>0</v>
      </c>
      <c r="K79" s="32">
        <v>0</v>
      </c>
      <c r="L79" s="32">
        <f>F79*K79</f>
        <v>0</v>
      </c>
      <c r="M79" s="54" t="s">
        <v>557</v>
      </c>
      <c r="P79" s="57">
        <f>IF(AG79="5",J79,0)</f>
        <v>0</v>
      </c>
      <c r="R79" s="57">
        <f>IF(AG79="1",H79,0)</f>
        <v>0</v>
      </c>
      <c r="S79" s="57">
        <f>IF(AG79="1",I79,0)</f>
        <v>0</v>
      </c>
      <c r="T79" s="57">
        <f>IF(AG79="7",H79,0)</f>
        <v>0</v>
      </c>
      <c r="U79" s="57">
        <f>IF(AG79="7",I79,0)</f>
        <v>0</v>
      </c>
      <c r="V79" s="57">
        <f>IF(AG79="2",H79,0)</f>
        <v>0</v>
      </c>
      <c r="W79" s="57">
        <f>IF(AG79="2",I79,0)</f>
        <v>0</v>
      </c>
      <c r="X79" s="57">
        <f>IF(AG79="0",J79,0)</f>
        <v>0</v>
      </c>
      <c r="Y79" s="48"/>
      <c r="Z79" s="32">
        <f>IF(AD79=0,J79,0)</f>
        <v>0</v>
      </c>
      <c r="AA79" s="32">
        <f>IF(AD79=15,J79,0)</f>
        <v>0</v>
      </c>
      <c r="AB79" s="32">
        <f>IF(AD79=21,J79,0)</f>
        <v>0</v>
      </c>
      <c r="AD79" s="57">
        <v>21</v>
      </c>
      <c r="AE79" s="57">
        <f>G79*0</f>
        <v>0</v>
      </c>
      <c r="AF79" s="57">
        <f>G79*(1-0)</f>
        <v>0</v>
      </c>
      <c r="AG79" s="54" t="s">
        <v>7</v>
      </c>
      <c r="AM79" s="57">
        <f>F79*AE79</f>
        <v>0</v>
      </c>
      <c r="AN79" s="57">
        <f>F79*AF79</f>
        <v>0</v>
      </c>
      <c r="AO79" s="58" t="s">
        <v>574</v>
      </c>
      <c r="AP79" s="58" t="s">
        <v>593</v>
      </c>
      <c r="AQ79" s="48" t="s">
        <v>600</v>
      </c>
      <c r="AS79" s="57">
        <f>AM79+AN79</f>
        <v>0</v>
      </c>
      <c r="AT79" s="57">
        <f>G79/(100-AU79)*100</f>
        <v>0</v>
      </c>
      <c r="AU79" s="57">
        <v>0</v>
      </c>
      <c r="AV79" s="57">
        <f>L79</f>
        <v>0</v>
      </c>
    </row>
    <row r="80" spans="4:6" ht="12.75">
      <c r="D80" s="27" t="s">
        <v>311</v>
      </c>
      <c r="F80" s="33">
        <v>25.708</v>
      </c>
    </row>
    <row r="81" spans="1:48" ht="12.75">
      <c r="A81" s="10" t="s">
        <v>25</v>
      </c>
      <c r="B81" s="10"/>
      <c r="C81" s="10" t="s">
        <v>136</v>
      </c>
      <c r="D81" s="10" t="s">
        <v>312</v>
      </c>
      <c r="E81" s="10" t="s">
        <v>530</v>
      </c>
      <c r="F81" s="32">
        <v>39.50616</v>
      </c>
      <c r="G81" s="32">
        <v>0</v>
      </c>
      <c r="H81" s="32">
        <f>F81*AE81</f>
        <v>0</v>
      </c>
      <c r="I81" s="32">
        <f>J81-H81</f>
        <v>0</v>
      </c>
      <c r="J81" s="32">
        <f>F81*G81</f>
        <v>0</v>
      </c>
      <c r="K81" s="32">
        <v>2.525</v>
      </c>
      <c r="L81" s="32">
        <f>F81*K81</f>
        <v>99.753054</v>
      </c>
      <c r="M81" s="54" t="s">
        <v>557</v>
      </c>
      <c r="P81" s="57">
        <f>IF(AG81="5",J81,0)</f>
        <v>0</v>
      </c>
      <c r="R81" s="57">
        <f>IF(AG81="1",H81,0)</f>
        <v>0</v>
      </c>
      <c r="S81" s="57">
        <f>IF(AG81="1",I81,0)</f>
        <v>0</v>
      </c>
      <c r="T81" s="57">
        <f>IF(AG81="7",H81,0)</f>
        <v>0</v>
      </c>
      <c r="U81" s="57">
        <f>IF(AG81="7",I81,0)</f>
        <v>0</v>
      </c>
      <c r="V81" s="57">
        <f>IF(AG81="2",H81,0)</f>
        <v>0</v>
      </c>
      <c r="W81" s="57">
        <f>IF(AG81="2",I81,0)</f>
        <v>0</v>
      </c>
      <c r="X81" s="57">
        <f>IF(AG81="0",J81,0)</f>
        <v>0</v>
      </c>
      <c r="Y81" s="48"/>
      <c r="Z81" s="32">
        <f>IF(AD81=0,J81,0)</f>
        <v>0</v>
      </c>
      <c r="AA81" s="32">
        <f>IF(AD81=15,J81,0)</f>
        <v>0</v>
      </c>
      <c r="AB81" s="32">
        <f>IF(AD81=21,J81,0)</f>
        <v>0</v>
      </c>
      <c r="AD81" s="57">
        <v>21</v>
      </c>
      <c r="AE81" s="57">
        <f>G81*0.731163456792928</f>
        <v>0</v>
      </c>
      <c r="AF81" s="57">
        <f>G81*(1-0.731163456792928)</f>
        <v>0</v>
      </c>
      <c r="AG81" s="54" t="s">
        <v>7</v>
      </c>
      <c r="AM81" s="57">
        <f>F81*AE81</f>
        <v>0</v>
      </c>
      <c r="AN81" s="57">
        <f>F81*AF81</f>
        <v>0</v>
      </c>
      <c r="AO81" s="58" t="s">
        <v>574</v>
      </c>
      <c r="AP81" s="58" t="s">
        <v>593</v>
      </c>
      <c r="AQ81" s="48" t="s">
        <v>600</v>
      </c>
      <c r="AS81" s="57">
        <f>AM81+AN81</f>
        <v>0</v>
      </c>
      <c r="AT81" s="57">
        <f>G81/(100-AU81)*100</f>
        <v>0</v>
      </c>
      <c r="AU81" s="57">
        <v>0</v>
      </c>
      <c r="AV81" s="57">
        <f>L81</f>
        <v>99.753054</v>
      </c>
    </row>
    <row r="82" spans="4:6" ht="12.75">
      <c r="D82" s="27" t="s">
        <v>313</v>
      </c>
      <c r="F82" s="33">
        <v>39.50616</v>
      </c>
    </row>
    <row r="83" spans="1:48" ht="12.75">
      <c r="A83" s="10" t="s">
        <v>26</v>
      </c>
      <c r="B83" s="10"/>
      <c r="C83" s="10" t="s">
        <v>137</v>
      </c>
      <c r="D83" s="10" t="s">
        <v>314</v>
      </c>
      <c r="E83" s="10" t="s">
        <v>530</v>
      </c>
      <c r="F83" s="32">
        <v>39.506</v>
      </c>
      <c r="G83" s="32">
        <v>0</v>
      </c>
      <c r="H83" s="32">
        <f>F83*AE83</f>
        <v>0</v>
      </c>
      <c r="I83" s="32">
        <f>J83-H83</f>
        <v>0</v>
      </c>
      <c r="J83" s="32">
        <f>F83*G83</f>
        <v>0</v>
      </c>
      <c r="K83" s="32">
        <v>0</v>
      </c>
      <c r="L83" s="32">
        <f>F83*K83</f>
        <v>0</v>
      </c>
      <c r="M83" s="54" t="s">
        <v>557</v>
      </c>
      <c r="P83" s="57">
        <f>IF(AG83="5",J83,0)</f>
        <v>0</v>
      </c>
      <c r="R83" s="57">
        <f>IF(AG83="1",H83,0)</f>
        <v>0</v>
      </c>
      <c r="S83" s="57">
        <f>IF(AG83="1",I83,0)</f>
        <v>0</v>
      </c>
      <c r="T83" s="57">
        <f>IF(AG83="7",H83,0)</f>
        <v>0</v>
      </c>
      <c r="U83" s="57">
        <f>IF(AG83="7",I83,0)</f>
        <v>0</v>
      </c>
      <c r="V83" s="57">
        <f>IF(AG83="2",H83,0)</f>
        <v>0</v>
      </c>
      <c r="W83" s="57">
        <f>IF(AG83="2",I83,0)</f>
        <v>0</v>
      </c>
      <c r="X83" s="57">
        <f>IF(AG83="0",J83,0)</f>
        <v>0</v>
      </c>
      <c r="Y83" s="48"/>
      <c r="Z83" s="32">
        <f>IF(AD83=0,J83,0)</f>
        <v>0</v>
      </c>
      <c r="AA83" s="32">
        <f>IF(AD83=15,J83,0)</f>
        <v>0</v>
      </c>
      <c r="AB83" s="32">
        <f>IF(AD83=21,J83,0)</f>
        <v>0</v>
      </c>
      <c r="AD83" s="57">
        <v>21</v>
      </c>
      <c r="AE83" s="57">
        <f>G83*0</f>
        <v>0</v>
      </c>
      <c r="AF83" s="57">
        <f>G83*(1-0)</f>
        <v>0</v>
      </c>
      <c r="AG83" s="54" t="s">
        <v>7</v>
      </c>
      <c r="AM83" s="57">
        <f>F83*AE83</f>
        <v>0</v>
      </c>
      <c r="AN83" s="57">
        <f>F83*AF83</f>
        <v>0</v>
      </c>
      <c r="AO83" s="58" t="s">
        <v>574</v>
      </c>
      <c r="AP83" s="58" t="s">
        <v>593</v>
      </c>
      <c r="AQ83" s="48" t="s">
        <v>600</v>
      </c>
      <c r="AS83" s="57">
        <f>AM83+AN83</f>
        <v>0</v>
      </c>
      <c r="AT83" s="57">
        <f>G83/(100-AU83)*100</f>
        <v>0</v>
      </c>
      <c r="AU83" s="57">
        <v>0</v>
      </c>
      <c r="AV83" s="57">
        <f>L83</f>
        <v>0</v>
      </c>
    </row>
    <row r="84" spans="4:6" ht="12.75">
      <c r="D84" s="27" t="s">
        <v>315</v>
      </c>
      <c r="F84" s="33">
        <v>39.506</v>
      </c>
    </row>
    <row r="85" spans="1:37" ht="12.75">
      <c r="A85" s="11"/>
      <c r="B85" s="23"/>
      <c r="C85" s="23" t="s">
        <v>138</v>
      </c>
      <c r="D85" s="23" t="s">
        <v>316</v>
      </c>
      <c r="E85" s="11" t="s">
        <v>6</v>
      </c>
      <c r="F85" s="11" t="s">
        <v>6</v>
      </c>
      <c r="G85" s="11" t="s">
        <v>6</v>
      </c>
      <c r="H85" s="60">
        <f>SUM(H86:H98)</f>
        <v>0</v>
      </c>
      <c r="I85" s="60">
        <f>SUM(I86:I98)</f>
        <v>0</v>
      </c>
      <c r="J85" s="60">
        <f>H85+I85</f>
        <v>0</v>
      </c>
      <c r="K85" s="48"/>
      <c r="L85" s="60">
        <f>SUM(L86:L98)</f>
        <v>3.809724229</v>
      </c>
      <c r="M85" s="48"/>
      <c r="Y85" s="48"/>
      <c r="AI85" s="60">
        <f>SUM(Z86:Z98)</f>
        <v>0</v>
      </c>
      <c r="AJ85" s="60">
        <f>SUM(AA86:AA98)</f>
        <v>0</v>
      </c>
      <c r="AK85" s="60">
        <f>SUM(AB86:AB98)</f>
        <v>0</v>
      </c>
    </row>
    <row r="86" spans="1:48" ht="12.75">
      <c r="A86" s="10" t="s">
        <v>27</v>
      </c>
      <c r="B86" s="10"/>
      <c r="C86" s="10" t="s">
        <v>139</v>
      </c>
      <c r="D86" s="10" t="s">
        <v>317</v>
      </c>
      <c r="E86" s="10" t="s">
        <v>531</v>
      </c>
      <c r="F86" s="32">
        <v>221.618</v>
      </c>
      <c r="G86" s="32">
        <v>0</v>
      </c>
      <c r="H86" s="32">
        <f>F86*AE86</f>
        <v>0</v>
      </c>
      <c r="I86" s="32">
        <f>J86-H86</f>
        <v>0</v>
      </c>
      <c r="J86" s="32">
        <f>F86*G86</f>
        <v>0</v>
      </c>
      <c r="K86" s="32">
        <v>3E-05</v>
      </c>
      <c r="L86" s="32">
        <f>F86*K86</f>
        <v>0.00664854</v>
      </c>
      <c r="M86" s="54" t="s">
        <v>557</v>
      </c>
      <c r="P86" s="57">
        <f>IF(AG86="5",J86,0)</f>
        <v>0</v>
      </c>
      <c r="R86" s="57">
        <f>IF(AG86="1",H86,0)</f>
        <v>0</v>
      </c>
      <c r="S86" s="57">
        <f>IF(AG86="1",I86,0)</f>
        <v>0</v>
      </c>
      <c r="T86" s="57">
        <f>IF(AG86="7",H86,0)</f>
        <v>0</v>
      </c>
      <c r="U86" s="57">
        <f>IF(AG86="7",I86,0)</f>
        <v>0</v>
      </c>
      <c r="V86" s="57">
        <f>IF(AG86="2",H86,0)</f>
        <v>0</v>
      </c>
      <c r="W86" s="57">
        <f>IF(AG86="2",I86,0)</f>
        <v>0</v>
      </c>
      <c r="X86" s="57">
        <f>IF(AG86="0",J86,0)</f>
        <v>0</v>
      </c>
      <c r="Y86" s="48"/>
      <c r="Z86" s="32">
        <f>IF(AD86=0,J86,0)</f>
        <v>0</v>
      </c>
      <c r="AA86" s="32">
        <f>IF(AD86=15,J86,0)</f>
        <v>0</v>
      </c>
      <c r="AB86" s="32">
        <f>IF(AD86=21,J86,0)</f>
        <v>0</v>
      </c>
      <c r="AD86" s="57">
        <v>21</v>
      </c>
      <c r="AE86" s="57">
        <f>G86*0.029520284389387</f>
        <v>0</v>
      </c>
      <c r="AF86" s="57">
        <f>G86*(1-0.029520284389387)</f>
        <v>0</v>
      </c>
      <c r="AG86" s="54" t="s">
        <v>13</v>
      </c>
      <c r="AM86" s="57">
        <f>F86*AE86</f>
        <v>0</v>
      </c>
      <c r="AN86" s="57">
        <f>F86*AF86</f>
        <v>0</v>
      </c>
      <c r="AO86" s="58" t="s">
        <v>575</v>
      </c>
      <c r="AP86" s="58" t="s">
        <v>594</v>
      </c>
      <c r="AQ86" s="48" t="s">
        <v>600</v>
      </c>
      <c r="AS86" s="57">
        <f>AM86+AN86</f>
        <v>0</v>
      </c>
      <c r="AT86" s="57">
        <f>G86/(100-AU86)*100</f>
        <v>0</v>
      </c>
      <c r="AU86" s="57">
        <v>0</v>
      </c>
      <c r="AV86" s="57">
        <f>L86</f>
        <v>0.00664854</v>
      </c>
    </row>
    <row r="87" spans="4:6" ht="12.75">
      <c r="D87" s="27" t="s">
        <v>318</v>
      </c>
      <c r="F87" s="33">
        <v>221.618</v>
      </c>
    </row>
    <row r="88" spans="1:48" ht="12.75">
      <c r="A88" s="12" t="s">
        <v>28</v>
      </c>
      <c r="B88" s="12"/>
      <c r="C88" s="12" t="s">
        <v>140</v>
      </c>
      <c r="D88" s="12" t="s">
        <v>319</v>
      </c>
      <c r="E88" s="12" t="s">
        <v>531</v>
      </c>
      <c r="F88" s="34">
        <v>254.8607</v>
      </c>
      <c r="G88" s="34">
        <v>0</v>
      </c>
      <c r="H88" s="34">
        <f>F88*AE88</f>
        <v>0</v>
      </c>
      <c r="I88" s="34">
        <f>J88-H88</f>
        <v>0</v>
      </c>
      <c r="J88" s="34">
        <f>F88*G88</f>
        <v>0</v>
      </c>
      <c r="K88" s="34">
        <v>0.00027</v>
      </c>
      <c r="L88" s="34">
        <f>F88*K88</f>
        <v>0.068812389</v>
      </c>
      <c r="M88" s="55" t="s">
        <v>557</v>
      </c>
      <c r="P88" s="57">
        <f>IF(AG88="5",J88,0)</f>
        <v>0</v>
      </c>
      <c r="R88" s="57">
        <f>IF(AG88="1",H88,0)</f>
        <v>0</v>
      </c>
      <c r="S88" s="57">
        <f>IF(AG88="1",I88,0)</f>
        <v>0</v>
      </c>
      <c r="T88" s="57">
        <f>IF(AG88="7",H88,0)</f>
        <v>0</v>
      </c>
      <c r="U88" s="57">
        <f>IF(AG88="7",I88,0)</f>
        <v>0</v>
      </c>
      <c r="V88" s="57">
        <f>IF(AG88="2",H88,0)</f>
        <v>0</v>
      </c>
      <c r="W88" s="57">
        <f>IF(AG88="2",I88,0)</f>
        <v>0</v>
      </c>
      <c r="X88" s="57">
        <f>IF(AG88="0",J88,0)</f>
        <v>0</v>
      </c>
      <c r="Y88" s="48"/>
      <c r="Z88" s="34">
        <f>IF(AD88=0,J88,0)</f>
        <v>0</v>
      </c>
      <c r="AA88" s="34">
        <f>IF(AD88=15,J88,0)</f>
        <v>0</v>
      </c>
      <c r="AB88" s="34">
        <f>IF(AD88=21,J88,0)</f>
        <v>0</v>
      </c>
      <c r="AD88" s="57">
        <v>21</v>
      </c>
      <c r="AE88" s="57">
        <f>G88*1</f>
        <v>0</v>
      </c>
      <c r="AF88" s="57">
        <f>G88*(1-1)</f>
        <v>0</v>
      </c>
      <c r="AG88" s="55" t="s">
        <v>13</v>
      </c>
      <c r="AM88" s="57">
        <f>F88*AE88</f>
        <v>0</v>
      </c>
      <c r="AN88" s="57">
        <f>F88*AF88</f>
        <v>0</v>
      </c>
      <c r="AO88" s="58" t="s">
        <v>575</v>
      </c>
      <c r="AP88" s="58" t="s">
        <v>594</v>
      </c>
      <c r="AQ88" s="48" t="s">
        <v>600</v>
      </c>
      <c r="AS88" s="57">
        <f>AM88+AN88</f>
        <v>0</v>
      </c>
      <c r="AT88" s="57">
        <f>G88/(100-AU88)*100</f>
        <v>0</v>
      </c>
      <c r="AU88" s="57">
        <v>0</v>
      </c>
      <c r="AV88" s="57">
        <f>L88</f>
        <v>0.068812389</v>
      </c>
    </row>
    <row r="89" spans="4:6" ht="12.75">
      <c r="D89" s="27" t="s">
        <v>320</v>
      </c>
      <c r="F89" s="33">
        <v>221.618</v>
      </c>
    </row>
    <row r="90" spans="4:6" ht="12.75">
      <c r="D90" s="27" t="s">
        <v>321</v>
      </c>
      <c r="F90" s="33">
        <v>33.2427</v>
      </c>
    </row>
    <row r="91" spans="1:48" ht="12.75">
      <c r="A91" s="10" t="s">
        <v>29</v>
      </c>
      <c r="B91" s="10"/>
      <c r="C91" s="10" t="s">
        <v>141</v>
      </c>
      <c r="D91" s="10" t="s">
        <v>322</v>
      </c>
      <c r="E91" s="10" t="s">
        <v>531</v>
      </c>
      <c r="F91" s="32">
        <v>221.618</v>
      </c>
      <c r="G91" s="32">
        <v>0</v>
      </c>
      <c r="H91" s="32">
        <f>F91*AE91</f>
        <v>0</v>
      </c>
      <c r="I91" s="32">
        <f>J91-H91</f>
        <v>0</v>
      </c>
      <c r="J91" s="32">
        <f>F91*G91</f>
        <v>0</v>
      </c>
      <c r="K91" s="32">
        <v>0.00041</v>
      </c>
      <c r="L91" s="32">
        <f>F91*K91</f>
        <v>0.09086338</v>
      </c>
      <c r="M91" s="54" t="s">
        <v>557</v>
      </c>
      <c r="P91" s="57">
        <f>IF(AG91="5",J91,0)</f>
        <v>0</v>
      </c>
      <c r="R91" s="57">
        <f>IF(AG91="1",H91,0)</f>
        <v>0</v>
      </c>
      <c r="S91" s="57">
        <f>IF(AG91="1",I91,0)</f>
        <v>0</v>
      </c>
      <c r="T91" s="57">
        <f>IF(AG91="7",H91,0)</f>
        <v>0</v>
      </c>
      <c r="U91" s="57">
        <f>IF(AG91="7",I91,0)</f>
        <v>0</v>
      </c>
      <c r="V91" s="57">
        <f>IF(AG91="2",H91,0)</f>
        <v>0</v>
      </c>
      <c r="W91" s="57">
        <f>IF(AG91="2",I91,0)</f>
        <v>0</v>
      </c>
      <c r="X91" s="57">
        <f>IF(AG91="0",J91,0)</f>
        <v>0</v>
      </c>
      <c r="Y91" s="48"/>
      <c r="Z91" s="32">
        <f>IF(AD91=0,J91,0)</f>
        <v>0</v>
      </c>
      <c r="AA91" s="32">
        <f>IF(AD91=15,J91,0)</f>
        <v>0</v>
      </c>
      <c r="AB91" s="32">
        <f>IF(AD91=21,J91,0)</f>
        <v>0</v>
      </c>
      <c r="AD91" s="57">
        <v>21</v>
      </c>
      <c r="AE91" s="57">
        <f>G91*0.0973802343685979</f>
        <v>0</v>
      </c>
      <c r="AF91" s="57">
        <f>G91*(1-0.0973802343685979)</f>
        <v>0</v>
      </c>
      <c r="AG91" s="54" t="s">
        <v>13</v>
      </c>
      <c r="AM91" s="57">
        <f>F91*AE91</f>
        <v>0</v>
      </c>
      <c r="AN91" s="57">
        <f>F91*AF91</f>
        <v>0</v>
      </c>
      <c r="AO91" s="58" t="s">
        <v>575</v>
      </c>
      <c r="AP91" s="58" t="s">
        <v>594</v>
      </c>
      <c r="AQ91" s="48" t="s">
        <v>600</v>
      </c>
      <c r="AS91" s="57">
        <f>AM91+AN91</f>
        <v>0</v>
      </c>
      <c r="AT91" s="57">
        <f>G91/(100-AU91)*100</f>
        <v>0</v>
      </c>
      <c r="AU91" s="57">
        <v>0</v>
      </c>
      <c r="AV91" s="57">
        <f>L91</f>
        <v>0.09086338</v>
      </c>
    </row>
    <row r="92" spans="4:6" ht="12.75">
      <c r="D92" s="27" t="s">
        <v>318</v>
      </c>
      <c r="F92" s="33">
        <v>221.618</v>
      </c>
    </row>
    <row r="93" spans="1:48" ht="12.75">
      <c r="A93" s="12" t="s">
        <v>30</v>
      </c>
      <c r="B93" s="12"/>
      <c r="C93" s="12" t="s">
        <v>142</v>
      </c>
      <c r="D93" s="12" t="s">
        <v>323</v>
      </c>
      <c r="E93" s="12" t="s">
        <v>531</v>
      </c>
      <c r="F93" s="34">
        <v>254.8607</v>
      </c>
      <c r="G93" s="34">
        <v>0</v>
      </c>
      <c r="H93" s="34">
        <f>F93*AE93</f>
        <v>0</v>
      </c>
      <c r="I93" s="34">
        <f>J93-H93</f>
        <v>0</v>
      </c>
      <c r="J93" s="34">
        <f>F93*G93</f>
        <v>0</v>
      </c>
      <c r="K93" s="34">
        <v>0.0056</v>
      </c>
      <c r="L93" s="34">
        <f>F93*K93</f>
        <v>1.42721992</v>
      </c>
      <c r="M93" s="55" t="s">
        <v>557</v>
      </c>
      <c r="P93" s="57">
        <f>IF(AG93="5",J93,0)</f>
        <v>0</v>
      </c>
      <c r="R93" s="57">
        <f>IF(AG93="1",H93,0)</f>
        <v>0</v>
      </c>
      <c r="S93" s="57">
        <f>IF(AG93="1",I93,0)</f>
        <v>0</v>
      </c>
      <c r="T93" s="57">
        <f>IF(AG93="7",H93,0)</f>
        <v>0</v>
      </c>
      <c r="U93" s="57">
        <f>IF(AG93="7",I93,0)</f>
        <v>0</v>
      </c>
      <c r="V93" s="57">
        <f>IF(AG93="2",H93,0)</f>
        <v>0</v>
      </c>
      <c r="W93" s="57">
        <f>IF(AG93="2",I93,0)</f>
        <v>0</v>
      </c>
      <c r="X93" s="57">
        <f>IF(AG93="0",J93,0)</f>
        <v>0</v>
      </c>
      <c r="Y93" s="48"/>
      <c r="Z93" s="34">
        <f>IF(AD93=0,J93,0)</f>
        <v>0</v>
      </c>
      <c r="AA93" s="34">
        <f>IF(AD93=15,J93,0)</f>
        <v>0</v>
      </c>
      <c r="AB93" s="34">
        <f>IF(AD93=21,J93,0)</f>
        <v>0</v>
      </c>
      <c r="AD93" s="57">
        <v>21</v>
      </c>
      <c r="AE93" s="57">
        <f>G93*1</f>
        <v>0</v>
      </c>
      <c r="AF93" s="57">
        <f>G93*(1-1)</f>
        <v>0</v>
      </c>
      <c r="AG93" s="55" t="s">
        <v>13</v>
      </c>
      <c r="AM93" s="57">
        <f>F93*AE93</f>
        <v>0</v>
      </c>
      <c r="AN93" s="57">
        <f>F93*AF93</f>
        <v>0</v>
      </c>
      <c r="AO93" s="58" t="s">
        <v>575</v>
      </c>
      <c r="AP93" s="58" t="s">
        <v>594</v>
      </c>
      <c r="AQ93" s="48" t="s">
        <v>600</v>
      </c>
      <c r="AS93" s="57">
        <f>AM93+AN93</f>
        <v>0</v>
      </c>
      <c r="AT93" s="57">
        <f>G93/(100-AU93)*100</f>
        <v>0</v>
      </c>
      <c r="AU93" s="57">
        <v>0</v>
      </c>
      <c r="AV93" s="57">
        <f>L93</f>
        <v>1.42721992</v>
      </c>
    </row>
    <row r="94" spans="4:6" ht="12.75">
      <c r="D94" s="27" t="s">
        <v>324</v>
      </c>
      <c r="F94" s="33">
        <v>221.618</v>
      </c>
    </row>
    <row r="95" spans="4:6" ht="12.75">
      <c r="D95" s="27" t="s">
        <v>321</v>
      </c>
      <c r="F95" s="33">
        <v>33.2427</v>
      </c>
    </row>
    <row r="96" spans="1:48" ht="12.75">
      <c r="A96" s="10" t="s">
        <v>31</v>
      </c>
      <c r="B96" s="10"/>
      <c r="C96" s="10" t="s">
        <v>143</v>
      </c>
      <c r="D96" s="10" t="s">
        <v>325</v>
      </c>
      <c r="E96" s="10" t="s">
        <v>531</v>
      </c>
      <c r="F96" s="32">
        <v>221.618</v>
      </c>
      <c r="G96" s="32">
        <v>0</v>
      </c>
      <c r="H96" s="32">
        <f>F96*AE96</f>
        <v>0</v>
      </c>
      <c r="I96" s="32">
        <f>J96-H96</f>
        <v>0</v>
      </c>
      <c r="J96" s="32">
        <f>F96*G96</f>
        <v>0</v>
      </c>
      <c r="K96" s="32">
        <v>0.01</v>
      </c>
      <c r="L96" s="32">
        <f>F96*K96</f>
        <v>2.21618</v>
      </c>
      <c r="M96" s="54" t="s">
        <v>557</v>
      </c>
      <c r="P96" s="57">
        <f>IF(AG96="5",J96,0)</f>
        <v>0</v>
      </c>
      <c r="R96" s="57">
        <f>IF(AG96="1",H96,0)</f>
        <v>0</v>
      </c>
      <c r="S96" s="57">
        <f>IF(AG96="1",I96,0)</f>
        <v>0</v>
      </c>
      <c r="T96" s="57">
        <f>IF(AG96="7",H96,0)</f>
        <v>0</v>
      </c>
      <c r="U96" s="57">
        <f>IF(AG96="7",I96,0)</f>
        <v>0</v>
      </c>
      <c r="V96" s="57">
        <f>IF(AG96="2",H96,0)</f>
        <v>0</v>
      </c>
      <c r="W96" s="57">
        <f>IF(AG96="2",I96,0)</f>
        <v>0</v>
      </c>
      <c r="X96" s="57">
        <f>IF(AG96="0",J96,0)</f>
        <v>0</v>
      </c>
      <c r="Y96" s="48"/>
      <c r="Z96" s="32">
        <f>IF(AD96=0,J96,0)</f>
        <v>0</v>
      </c>
      <c r="AA96" s="32">
        <f>IF(AD96=15,J96,0)</f>
        <v>0</v>
      </c>
      <c r="AB96" s="32">
        <f>IF(AD96=21,J96,0)</f>
        <v>0</v>
      </c>
      <c r="AD96" s="57">
        <v>21</v>
      </c>
      <c r="AE96" s="57">
        <f>G96*0</f>
        <v>0</v>
      </c>
      <c r="AF96" s="57">
        <f>G96*(1-0)</f>
        <v>0</v>
      </c>
      <c r="AG96" s="54" t="s">
        <v>13</v>
      </c>
      <c r="AM96" s="57">
        <f>F96*AE96</f>
        <v>0</v>
      </c>
      <c r="AN96" s="57">
        <f>F96*AF96</f>
        <v>0</v>
      </c>
      <c r="AO96" s="58" t="s">
        <v>575</v>
      </c>
      <c r="AP96" s="58" t="s">
        <v>594</v>
      </c>
      <c r="AQ96" s="48" t="s">
        <v>600</v>
      </c>
      <c r="AS96" s="57">
        <f>AM96+AN96</f>
        <v>0</v>
      </c>
      <c r="AT96" s="57">
        <f>G96/(100-AU96)*100</f>
        <v>0</v>
      </c>
      <c r="AU96" s="57">
        <v>0</v>
      </c>
      <c r="AV96" s="57">
        <f>L96</f>
        <v>2.21618</v>
      </c>
    </row>
    <row r="97" spans="4:6" ht="12.75">
      <c r="D97" s="27" t="s">
        <v>318</v>
      </c>
      <c r="F97" s="33">
        <v>221.618</v>
      </c>
    </row>
    <row r="98" spans="1:48" ht="12.75">
      <c r="A98" s="10" t="s">
        <v>32</v>
      </c>
      <c r="B98" s="10"/>
      <c r="C98" s="10" t="s">
        <v>144</v>
      </c>
      <c r="D98" s="10" t="s">
        <v>326</v>
      </c>
      <c r="E98" s="10" t="s">
        <v>529</v>
      </c>
      <c r="F98" s="32">
        <v>1.594</v>
      </c>
      <c r="G98" s="32">
        <v>0</v>
      </c>
      <c r="H98" s="32">
        <f>F98*AE98</f>
        <v>0</v>
      </c>
      <c r="I98" s="32">
        <f>J98-H98</f>
        <v>0</v>
      </c>
      <c r="J98" s="32">
        <f>F98*G98</f>
        <v>0</v>
      </c>
      <c r="K98" s="32">
        <v>0</v>
      </c>
      <c r="L98" s="32">
        <f>F98*K98</f>
        <v>0</v>
      </c>
      <c r="M98" s="54" t="s">
        <v>557</v>
      </c>
      <c r="P98" s="57">
        <f>IF(AG98="5",J98,0)</f>
        <v>0</v>
      </c>
      <c r="R98" s="57">
        <f>IF(AG98="1",H98,0)</f>
        <v>0</v>
      </c>
      <c r="S98" s="57">
        <f>IF(AG98="1",I98,0)</f>
        <v>0</v>
      </c>
      <c r="T98" s="57">
        <f>IF(AG98="7",H98,0)</f>
        <v>0</v>
      </c>
      <c r="U98" s="57">
        <f>IF(AG98="7",I98,0)</f>
        <v>0</v>
      </c>
      <c r="V98" s="57">
        <f>IF(AG98="2",H98,0)</f>
        <v>0</v>
      </c>
      <c r="W98" s="57">
        <f>IF(AG98="2",I98,0)</f>
        <v>0</v>
      </c>
      <c r="X98" s="57">
        <f>IF(AG98="0",J98,0)</f>
        <v>0</v>
      </c>
      <c r="Y98" s="48"/>
      <c r="Z98" s="32">
        <f>IF(AD98=0,J98,0)</f>
        <v>0</v>
      </c>
      <c r="AA98" s="32">
        <f>IF(AD98=15,J98,0)</f>
        <v>0</v>
      </c>
      <c r="AB98" s="32">
        <f>IF(AD98=21,J98,0)</f>
        <v>0</v>
      </c>
      <c r="AD98" s="57">
        <v>21</v>
      </c>
      <c r="AE98" s="57">
        <f>G98*0</f>
        <v>0</v>
      </c>
      <c r="AF98" s="57">
        <f>G98*(1-0)</f>
        <v>0</v>
      </c>
      <c r="AG98" s="54" t="s">
        <v>11</v>
      </c>
      <c r="AM98" s="57">
        <f>F98*AE98</f>
        <v>0</v>
      </c>
      <c r="AN98" s="57">
        <f>F98*AF98</f>
        <v>0</v>
      </c>
      <c r="AO98" s="58" t="s">
        <v>575</v>
      </c>
      <c r="AP98" s="58" t="s">
        <v>594</v>
      </c>
      <c r="AQ98" s="48" t="s">
        <v>600</v>
      </c>
      <c r="AS98" s="57">
        <f>AM98+AN98</f>
        <v>0</v>
      </c>
      <c r="AT98" s="57">
        <f>G98/(100-AU98)*100</f>
        <v>0</v>
      </c>
      <c r="AU98" s="57">
        <v>0</v>
      </c>
      <c r="AV98" s="57">
        <f>L98</f>
        <v>0</v>
      </c>
    </row>
    <row r="99" spans="4:6" ht="12.75">
      <c r="D99" s="27" t="s">
        <v>327</v>
      </c>
      <c r="F99" s="33">
        <v>1.594</v>
      </c>
    </row>
    <row r="100" spans="1:37" ht="12.75">
      <c r="A100" s="11"/>
      <c r="B100" s="23"/>
      <c r="C100" s="23" t="s">
        <v>145</v>
      </c>
      <c r="D100" s="23" t="s">
        <v>328</v>
      </c>
      <c r="E100" s="11" t="s">
        <v>6</v>
      </c>
      <c r="F100" s="11" t="s">
        <v>6</v>
      </c>
      <c r="G100" s="11" t="s">
        <v>6</v>
      </c>
      <c r="H100" s="60">
        <f>SUM(H101:H118)</f>
        <v>0</v>
      </c>
      <c r="I100" s="60">
        <f>SUM(I101:I118)</f>
        <v>0</v>
      </c>
      <c r="J100" s="60">
        <f>H100+I100</f>
        <v>0</v>
      </c>
      <c r="K100" s="48"/>
      <c r="L100" s="60">
        <f>SUM(L101:L118)</f>
        <v>2.31548856</v>
      </c>
      <c r="M100" s="48"/>
      <c r="Y100" s="48"/>
      <c r="AI100" s="60">
        <f>SUM(Z101:Z118)</f>
        <v>0</v>
      </c>
      <c r="AJ100" s="60">
        <f>SUM(AA101:AA118)</f>
        <v>0</v>
      </c>
      <c r="AK100" s="60">
        <f>SUM(AB101:AB118)</f>
        <v>0</v>
      </c>
    </row>
    <row r="101" spans="1:48" ht="12.75">
      <c r="A101" s="10" t="s">
        <v>33</v>
      </c>
      <c r="B101" s="10"/>
      <c r="C101" s="10" t="s">
        <v>146</v>
      </c>
      <c r="D101" s="10" t="s">
        <v>329</v>
      </c>
      <c r="E101" s="10" t="s">
        <v>532</v>
      </c>
      <c r="F101" s="32">
        <v>72</v>
      </c>
      <c r="G101" s="32">
        <v>0</v>
      </c>
      <c r="H101" s="32">
        <f>F101*AE101</f>
        <v>0</v>
      </c>
      <c r="I101" s="32">
        <f>J101-H101</f>
        <v>0</v>
      </c>
      <c r="J101" s="32">
        <f>F101*G101</f>
        <v>0</v>
      </c>
      <c r="K101" s="32">
        <v>0</v>
      </c>
      <c r="L101" s="32">
        <f>F101*K101</f>
        <v>0</v>
      </c>
      <c r="M101" s="54" t="s">
        <v>557</v>
      </c>
      <c r="P101" s="57">
        <f>IF(AG101="5",J101,0)</f>
        <v>0</v>
      </c>
      <c r="R101" s="57">
        <f>IF(AG101="1",H101,0)</f>
        <v>0</v>
      </c>
      <c r="S101" s="57">
        <f>IF(AG101="1",I101,0)</f>
        <v>0</v>
      </c>
      <c r="T101" s="57">
        <f>IF(AG101="7",H101,0)</f>
        <v>0</v>
      </c>
      <c r="U101" s="57">
        <f>IF(AG101="7",I101,0)</f>
        <v>0</v>
      </c>
      <c r="V101" s="57">
        <f>IF(AG101="2",H101,0)</f>
        <v>0</v>
      </c>
      <c r="W101" s="57">
        <f>IF(AG101="2",I101,0)</f>
        <v>0</v>
      </c>
      <c r="X101" s="57">
        <f>IF(AG101="0",J101,0)</f>
        <v>0</v>
      </c>
      <c r="Y101" s="48"/>
      <c r="Z101" s="32">
        <f>IF(AD101=0,J101,0)</f>
        <v>0</v>
      </c>
      <c r="AA101" s="32">
        <f>IF(AD101=15,J101,0)</f>
        <v>0</v>
      </c>
      <c r="AB101" s="32">
        <f>IF(AD101=21,J101,0)</f>
        <v>0</v>
      </c>
      <c r="AD101" s="57">
        <v>21</v>
      </c>
      <c r="AE101" s="57">
        <f>G101*0</f>
        <v>0</v>
      </c>
      <c r="AF101" s="57">
        <f>G101*(1-0)</f>
        <v>0</v>
      </c>
      <c r="AG101" s="54" t="s">
        <v>13</v>
      </c>
      <c r="AM101" s="57">
        <f>F101*AE101</f>
        <v>0</v>
      </c>
      <c r="AN101" s="57">
        <f>F101*AF101</f>
        <v>0</v>
      </c>
      <c r="AO101" s="58" t="s">
        <v>576</v>
      </c>
      <c r="AP101" s="58" t="s">
        <v>594</v>
      </c>
      <c r="AQ101" s="48" t="s">
        <v>600</v>
      </c>
      <c r="AS101" s="57">
        <f>AM101+AN101</f>
        <v>0</v>
      </c>
      <c r="AT101" s="57">
        <f>G101/(100-AU101)*100</f>
        <v>0</v>
      </c>
      <c r="AU101" s="57">
        <v>0</v>
      </c>
      <c r="AV101" s="57">
        <f>L101</f>
        <v>0</v>
      </c>
    </row>
    <row r="102" spans="4:6" ht="12.75">
      <c r="D102" s="27" t="s">
        <v>330</v>
      </c>
      <c r="F102" s="33">
        <v>72</v>
      </c>
    </row>
    <row r="103" spans="1:48" ht="12.75">
      <c r="A103" s="10" t="s">
        <v>34</v>
      </c>
      <c r="B103" s="10"/>
      <c r="C103" s="10" t="s">
        <v>147</v>
      </c>
      <c r="D103" s="10" t="s">
        <v>331</v>
      </c>
      <c r="E103" s="10" t="s">
        <v>531</v>
      </c>
      <c r="F103" s="32">
        <v>522.018</v>
      </c>
      <c r="G103" s="32">
        <v>0</v>
      </c>
      <c r="H103" s="32">
        <f>F103*AE103</f>
        <v>0</v>
      </c>
      <c r="I103" s="32">
        <f>J103-H103</f>
        <v>0</v>
      </c>
      <c r="J103" s="32">
        <f>F103*G103</f>
        <v>0</v>
      </c>
      <c r="K103" s="32">
        <v>1E-05</v>
      </c>
      <c r="L103" s="32">
        <f>F103*K103</f>
        <v>0.0052201800000000005</v>
      </c>
      <c r="M103" s="54" t="s">
        <v>557</v>
      </c>
      <c r="P103" s="57">
        <f>IF(AG103="5",J103,0)</f>
        <v>0</v>
      </c>
      <c r="R103" s="57">
        <f>IF(AG103="1",H103,0)</f>
        <v>0</v>
      </c>
      <c r="S103" s="57">
        <f>IF(AG103="1",I103,0)</f>
        <v>0</v>
      </c>
      <c r="T103" s="57">
        <f>IF(AG103="7",H103,0)</f>
        <v>0</v>
      </c>
      <c r="U103" s="57">
        <f>IF(AG103="7",I103,0)</f>
        <v>0</v>
      </c>
      <c r="V103" s="57">
        <f>IF(AG103="2",H103,0)</f>
        <v>0</v>
      </c>
      <c r="W103" s="57">
        <f>IF(AG103="2",I103,0)</f>
        <v>0</v>
      </c>
      <c r="X103" s="57">
        <f>IF(AG103="0",J103,0)</f>
        <v>0</v>
      </c>
      <c r="Y103" s="48"/>
      <c r="Z103" s="32">
        <f>IF(AD103=0,J103,0)</f>
        <v>0</v>
      </c>
      <c r="AA103" s="32">
        <f>IF(AD103=15,J103,0)</f>
        <v>0</v>
      </c>
      <c r="AB103" s="32">
        <f>IF(AD103=21,J103,0)</f>
        <v>0</v>
      </c>
      <c r="AD103" s="57">
        <v>21</v>
      </c>
      <c r="AE103" s="57">
        <f>G103*0.177594846858396</f>
        <v>0</v>
      </c>
      <c r="AF103" s="57">
        <f>G103*(1-0.177594846858396)</f>
        <v>0</v>
      </c>
      <c r="AG103" s="54" t="s">
        <v>13</v>
      </c>
      <c r="AM103" s="57">
        <f>F103*AE103</f>
        <v>0</v>
      </c>
      <c r="AN103" s="57">
        <f>F103*AF103</f>
        <v>0</v>
      </c>
      <c r="AO103" s="58" t="s">
        <v>576</v>
      </c>
      <c r="AP103" s="58" t="s">
        <v>594</v>
      </c>
      <c r="AQ103" s="48" t="s">
        <v>600</v>
      </c>
      <c r="AS103" s="57">
        <f>AM103+AN103</f>
        <v>0</v>
      </c>
      <c r="AT103" s="57">
        <f>G103/(100-AU103)*100</f>
        <v>0</v>
      </c>
      <c r="AU103" s="57">
        <v>0</v>
      </c>
      <c r="AV103" s="57">
        <f>L103</f>
        <v>0.0052201800000000005</v>
      </c>
    </row>
    <row r="104" spans="4:6" ht="12.75">
      <c r="D104" s="27" t="s">
        <v>332</v>
      </c>
      <c r="F104" s="33">
        <v>522.018</v>
      </c>
    </row>
    <row r="105" spans="1:48" ht="12.75">
      <c r="A105" s="10" t="s">
        <v>35</v>
      </c>
      <c r="B105" s="10"/>
      <c r="C105" s="10" t="s">
        <v>148</v>
      </c>
      <c r="D105" s="10" t="s">
        <v>333</v>
      </c>
      <c r="E105" s="10" t="s">
        <v>531</v>
      </c>
      <c r="F105" s="32">
        <v>250.84</v>
      </c>
      <c r="G105" s="32">
        <v>0</v>
      </c>
      <c r="H105" s="32">
        <f>F105*AE105</f>
        <v>0</v>
      </c>
      <c r="I105" s="32">
        <f>J105-H105</f>
        <v>0</v>
      </c>
      <c r="J105" s="32">
        <f>F105*G105</f>
        <v>0</v>
      </c>
      <c r="K105" s="32">
        <v>0</v>
      </c>
      <c r="L105" s="32">
        <f>F105*K105</f>
        <v>0</v>
      </c>
      <c r="M105" s="54" t="s">
        <v>557</v>
      </c>
      <c r="P105" s="57">
        <f>IF(AG105="5",J105,0)</f>
        <v>0</v>
      </c>
      <c r="R105" s="57">
        <f>IF(AG105="1",H105,0)</f>
        <v>0</v>
      </c>
      <c r="S105" s="57">
        <f>IF(AG105="1",I105,0)</f>
        <v>0</v>
      </c>
      <c r="T105" s="57">
        <f>IF(AG105="7",H105,0)</f>
        <v>0</v>
      </c>
      <c r="U105" s="57">
        <f>IF(AG105="7",I105,0)</f>
        <v>0</v>
      </c>
      <c r="V105" s="57">
        <f>IF(AG105="2",H105,0)</f>
        <v>0</v>
      </c>
      <c r="W105" s="57">
        <f>IF(AG105="2",I105,0)</f>
        <v>0</v>
      </c>
      <c r="X105" s="57">
        <f>IF(AG105="0",J105,0)</f>
        <v>0</v>
      </c>
      <c r="Y105" s="48"/>
      <c r="Z105" s="32">
        <f>IF(AD105=0,J105,0)</f>
        <v>0</v>
      </c>
      <c r="AA105" s="32">
        <f>IF(AD105=15,J105,0)</f>
        <v>0</v>
      </c>
      <c r="AB105" s="32">
        <f>IF(AD105=21,J105,0)</f>
        <v>0</v>
      </c>
      <c r="AD105" s="57">
        <v>21</v>
      </c>
      <c r="AE105" s="57">
        <f>G105*0</f>
        <v>0</v>
      </c>
      <c r="AF105" s="57">
        <f>G105*(1-0)</f>
        <v>0</v>
      </c>
      <c r="AG105" s="54" t="s">
        <v>13</v>
      </c>
      <c r="AM105" s="57">
        <f>F105*AE105</f>
        <v>0</v>
      </c>
      <c r="AN105" s="57">
        <f>F105*AF105</f>
        <v>0</v>
      </c>
      <c r="AO105" s="58" t="s">
        <v>576</v>
      </c>
      <c r="AP105" s="58" t="s">
        <v>594</v>
      </c>
      <c r="AQ105" s="48" t="s">
        <v>600</v>
      </c>
      <c r="AS105" s="57">
        <f>AM105+AN105</f>
        <v>0</v>
      </c>
      <c r="AT105" s="57">
        <f>G105/(100-AU105)*100</f>
        <v>0</v>
      </c>
      <c r="AU105" s="57">
        <v>0</v>
      </c>
      <c r="AV105" s="57">
        <f>L105</f>
        <v>0</v>
      </c>
    </row>
    <row r="106" spans="4:6" ht="12.75">
      <c r="D106" s="27" t="s">
        <v>334</v>
      </c>
      <c r="F106" s="33">
        <v>250.84</v>
      </c>
    </row>
    <row r="107" spans="1:48" ht="12.75">
      <c r="A107" s="12" t="s">
        <v>36</v>
      </c>
      <c r="B107" s="12"/>
      <c r="C107" s="12" t="s">
        <v>149</v>
      </c>
      <c r="D107" s="12" t="s">
        <v>335</v>
      </c>
      <c r="E107" s="12" t="s">
        <v>530</v>
      </c>
      <c r="F107" s="34">
        <v>15.65242</v>
      </c>
      <c r="G107" s="34">
        <v>0</v>
      </c>
      <c r="H107" s="34">
        <f>F107*AE107</f>
        <v>0</v>
      </c>
      <c r="I107" s="34">
        <f>J107-H107</f>
        <v>0</v>
      </c>
      <c r="J107" s="34">
        <f>F107*G107</f>
        <v>0</v>
      </c>
      <c r="K107" s="34">
        <v>0.03</v>
      </c>
      <c r="L107" s="34">
        <f>F107*K107</f>
        <v>0.46957259999999995</v>
      </c>
      <c r="M107" s="55" t="s">
        <v>557</v>
      </c>
      <c r="P107" s="57">
        <f>IF(AG107="5",J107,0)</f>
        <v>0</v>
      </c>
      <c r="R107" s="57">
        <f>IF(AG107="1",H107,0)</f>
        <v>0</v>
      </c>
      <c r="S107" s="57">
        <f>IF(AG107="1",I107,0)</f>
        <v>0</v>
      </c>
      <c r="T107" s="57">
        <f>IF(AG107="7",H107,0)</f>
        <v>0</v>
      </c>
      <c r="U107" s="57">
        <f>IF(AG107="7",I107,0)</f>
        <v>0</v>
      </c>
      <c r="V107" s="57">
        <f>IF(AG107="2",H107,0)</f>
        <v>0</v>
      </c>
      <c r="W107" s="57">
        <f>IF(AG107="2",I107,0)</f>
        <v>0</v>
      </c>
      <c r="X107" s="57">
        <f>IF(AG107="0",J107,0)</f>
        <v>0</v>
      </c>
      <c r="Y107" s="48"/>
      <c r="Z107" s="34">
        <f>IF(AD107=0,J107,0)</f>
        <v>0</v>
      </c>
      <c r="AA107" s="34">
        <f>IF(AD107=15,J107,0)</f>
        <v>0</v>
      </c>
      <c r="AB107" s="34">
        <f>IF(AD107=21,J107,0)</f>
        <v>0</v>
      </c>
      <c r="AD107" s="57">
        <v>21</v>
      </c>
      <c r="AE107" s="57">
        <f>G107*1</f>
        <v>0</v>
      </c>
      <c r="AF107" s="57">
        <f>G107*(1-1)</f>
        <v>0</v>
      </c>
      <c r="AG107" s="55" t="s">
        <v>13</v>
      </c>
      <c r="AM107" s="57">
        <f>F107*AE107</f>
        <v>0</v>
      </c>
      <c r="AN107" s="57">
        <f>F107*AF107</f>
        <v>0</v>
      </c>
      <c r="AO107" s="58" t="s">
        <v>576</v>
      </c>
      <c r="AP107" s="58" t="s">
        <v>594</v>
      </c>
      <c r="AQ107" s="48" t="s">
        <v>600</v>
      </c>
      <c r="AS107" s="57">
        <f>AM107+AN107</f>
        <v>0</v>
      </c>
      <c r="AT107" s="57">
        <f>G107/(100-AU107)*100</f>
        <v>0</v>
      </c>
      <c r="AU107" s="57">
        <v>0</v>
      </c>
      <c r="AV107" s="57">
        <f>L107</f>
        <v>0.46957259999999995</v>
      </c>
    </row>
    <row r="108" spans="4:6" ht="12.75">
      <c r="D108" s="27" t="s">
        <v>336</v>
      </c>
      <c r="F108" s="33">
        <v>15.0504</v>
      </c>
    </row>
    <row r="109" spans="4:6" ht="12.75">
      <c r="D109" s="27" t="s">
        <v>337</v>
      </c>
      <c r="F109" s="33">
        <v>0.60202</v>
      </c>
    </row>
    <row r="110" spans="1:48" ht="12.75">
      <c r="A110" s="10" t="s">
        <v>37</v>
      </c>
      <c r="B110" s="10"/>
      <c r="C110" s="10" t="s">
        <v>150</v>
      </c>
      <c r="D110" s="10" t="s">
        <v>338</v>
      </c>
      <c r="E110" s="10" t="s">
        <v>531</v>
      </c>
      <c r="F110" s="32">
        <v>170.751</v>
      </c>
      <c r="G110" s="32">
        <v>0</v>
      </c>
      <c r="H110" s="32">
        <f>F110*AE110</f>
        <v>0</v>
      </c>
      <c r="I110" s="32">
        <f>J110-H110</f>
        <v>0</v>
      </c>
      <c r="J110" s="32">
        <f>F110*G110</f>
        <v>0</v>
      </c>
      <c r="K110" s="32">
        <v>0.00038</v>
      </c>
      <c r="L110" s="32">
        <f>F110*K110</f>
        <v>0.06488538</v>
      </c>
      <c r="M110" s="54" t="s">
        <v>557</v>
      </c>
      <c r="P110" s="57">
        <f>IF(AG110="5",J110,0)</f>
        <v>0</v>
      </c>
      <c r="R110" s="57">
        <f>IF(AG110="1",H110,0)</f>
        <v>0</v>
      </c>
      <c r="S110" s="57">
        <f>IF(AG110="1",I110,0)</f>
        <v>0</v>
      </c>
      <c r="T110" s="57">
        <f>IF(AG110="7",H110,0)</f>
        <v>0</v>
      </c>
      <c r="U110" s="57">
        <f>IF(AG110="7",I110,0)</f>
        <v>0</v>
      </c>
      <c r="V110" s="57">
        <f>IF(AG110="2",H110,0)</f>
        <v>0</v>
      </c>
      <c r="W110" s="57">
        <f>IF(AG110="2",I110,0)</f>
        <v>0</v>
      </c>
      <c r="X110" s="57">
        <f>IF(AG110="0",J110,0)</f>
        <v>0</v>
      </c>
      <c r="Y110" s="48"/>
      <c r="Z110" s="32">
        <f>IF(AD110=0,J110,0)</f>
        <v>0</v>
      </c>
      <c r="AA110" s="32">
        <f>IF(AD110=15,J110,0)</f>
        <v>0</v>
      </c>
      <c r="AB110" s="32">
        <f>IF(AD110=21,J110,0)</f>
        <v>0</v>
      </c>
      <c r="AD110" s="57">
        <v>21</v>
      </c>
      <c r="AE110" s="57">
        <f>G110*0.107707301688152</f>
        <v>0</v>
      </c>
      <c r="AF110" s="57">
        <f>G110*(1-0.107707301688152)</f>
        <v>0</v>
      </c>
      <c r="AG110" s="54" t="s">
        <v>13</v>
      </c>
      <c r="AM110" s="57">
        <f>F110*AE110</f>
        <v>0</v>
      </c>
      <c r="AN110" s="57">
        <f>F110*AF110</f>
        <v>0</v>
      </c>
      <c r="AO110" s="58" t="s">
        <v>576</v>
      </c>
      <c r="AP110" s="58" t="s">
        <v>594</v>
      </c>
      <c r="AQ110" s="48" t="s">
        <v>600</v>
      </c>
      <c r="AS110" s="57">
        <f>AM110+AN110</f>
        <v>0</v>
      </c>
      <c r="AT110" s="57">
        <f>G110/(100-AU110)*100</f>
        <v>0</v>
      </c>
      <c r="AU110" s="57">
        <v>0</v>
      </c>
      <c r="AV110" s="57">
        <f>L110</f>
        <v>0.06488538</v>
      </c>
    </row>
    <row r="111" spans="4:6" ht="12.75">
      <c r="D111" s="27" t="s">
        <v>339</v>
      </c>
      <c r="F111" s="33">
        <v>170.751</v>
      </c>
    </row>
    <row r="112" spans="1:48" ht="12.75">
      <c r="A112" s="12" t="s">
        <v>38</v>
      </c>
      <c r="B112" s="12"/>
      <c r="C112" s="12" t="s">
        <v>151</v>
      </c>
      <c r="D112" s="12" t="s">
        <v>340</v>
      </c>
      <c r="E112" s="12" t="s">
        <v>531</v>
      </c>
      <c r="F112" s="34">
        <v>355.16208</v>
      </c>
      <c r="G112" s="34">
        <v>0</v>
      </c>
      <c r="H112" s="34">
        <f>F112*AE112</f>
        <v>0</v>
      </c>
      <c r="I112" s="34">
        <f>J112-H112</f>
        <v>0</v>
      </c>
      <c r="J112" s="34">
        <f>F112*G112</f>
        <v>0</v>
      </c>
      <c r="K112" s="34">
        <v>0.004</v>
      </c>
      <c r="L112" s="34">
        <f>F112*K112</f>
        <v>1.42064832</v>
      </c>
      <c r="M112" s="55" t="s">
        <v>557</v>
      </c>
      <c r="P112" s="57">
        <f>IF(AG112="5",J112,0)</f>
        <v>0</v>
      </c>
      <c r="R112" s="57">
        <f>IF(AG112="1",H112,0)</f>
        <v>0</v>
      </c>
      <c r="S112" s="57">
        <f>IF(AG112="1",I112,0)</f>
        <v>0</v>
      </c>
      <c r="T112" s="57">
        <f>IF(AG112="7",H112,0)</f>
        <v>0</v>
      </c>
      <c r="U112" s="57">
        <f>IF(AG112="7",I112,0)</f>
        <v>0</v>
      </c>
      <c r="V112" s="57">
        <f>IF(AG112="2",H112,0)</f>
        <v>0</v>
      </c>
      <c r="W112" s="57">
        <f>IF(AG112="2",I112,0)</f>
        <v>0</v>
      </c>
      <c r="X112" s="57">
        <f>IF(AG112="0",J112,0)</f>
        <v>0</v>
      </c>
      <c r="Y112" s="48"/>
      <c r="Z112" s="34">
        <f>IF(AD112=0,J112,0)</f>
        <v>0</v>
      </c>
      <c r="AA112" s="34">
        <f>IF(AD112=15,J112,0)</f>
        <v>0</v>
      </c>
      <c r="AB112" s="34">
        <f>IF(AD112=21,J112,0)</f>
        <v>0</v>
      </c>
      <c r="AD112" s="57">
        <v>21</v>
      </c>
      <c r="AE112" s="57">
        <f>G112*1</f>
        <v>0</v>
      </c>
      <c r="AF112" s="57">
        <f>G112*(1-1)</f>
        <v>0</v>
      </c>
      <c r="AG112" s="55" t="s">
        <v>13</v>
      </c>
      <c r="AM112" s="57">
        <f>F112*AE112</f>
        <v>0</v>
      </c>
      <c r="AN112" s="57">
        <f>F112*AF112</f>
        <v>0</v>
      </c>
      <c r="AO112" s="58" t="s">
        <v>576</v>
      </c>
      <c r="AP112" s="58" t="s">
        <v>594</v>
      </c>
      <c r="AQ112" s="48" t="s">
        <v>600</v>
      </c>
      <c r="AS112" s="57">
        <f>AM112+AN112</f>
        <v>0</v>
      </c>
      <c r="AT112" s="57">
        <f>G112/(100-AU112)*100</f>
        <v>0</v>
      </c>
      <c r="AU112" s="57">
        <v>0</v>
      </c>
      <c r="AV112" s="57">
        <f>L112</f>
        <v>1.42064832</v>
      </c>
    </row>
    <row r="113" spans="4:6" ht="12.75">
      <c r="D113" s="27" t="s">
        <v>341</v>
      </c>
      <c r="F113" s="33">
        <v>341.502</v>
      </c>
    </row>
    <row r="114" spans="4:6" ht="12.75">
      <c r="D114" s="27" t="s">
        <v>342</v>
      </c>
      <c r="F114" s="33">
        <v>13.66008</v>
      </c>
    </row>
    <row r="115" spans="1:48" ht="12.75">
      <c r="A115" s="12" t="s">
        <v>39</v>
      </c>
      <c r="B115" s="12"/>
      <c r="C115" s="12" t="s">
        <v>152</v>
      </c>
      <c r="D115" s="12" t="s">
        <v>343</v>
      </c>
      <c r="E115" s="12" t="s">
        <v>531</v>
      </c>
      <c r="F115" s="34">
        <v>177.58104</v>
      </c>
      <c r="G115" s="34">
        <v>0</v>
      </c>
      <c r="H115" s="34">
        <f>F115*AE115</f>
        <v>0</v>
      </c>
      <c r="I115" s="34">
        <f>J115-H115</f>
        <v>0</v>
      </c>
      <c r="J115" s="34">
        <f>F115*G115</f>
        <v>0</v>
      </c>
      <c r="K115" s="34">
        <v>0.002</v>
      </c>
      <c r="L115" s="34">
        <f>F115*K115</f>
        <v>0.35516208</v>
      </c>
      <c r="M115" s="55" t="s">
        <v>557</v>
      </c>
      <c r="P115" s="57">
        <f>IF(AG115="5",J115,0)</f>
        <v>0</v>
      </c>
      <c r="R115" s="57">
        <f>IF(AG115="1",H115,0)</f>
        <v>0</v>
      </c>
      <c r="S115" s="57">
        <f>IF(AG115="1",I115,0)</f>
        <v>0</v>
      </c>
      <c r="T115" s="57">
        <f>IF(AG115="7",H115,0)</f>
        <v>0</v>
      </c>
      <c r="U115" s="57">
        <f>IF(AG115="7",I115,0)</f>
        <v>0</v>
      </c>
      <c r="V115" s="57">
        <f>IF(AG115="2",H115,0)</f>
        <v>0</v>
      </c>
      <c r="W115" s="57">
        <f>IF(AG115="2",I115,0)</f>
        <v>0</v>
      </c>
      <c r="X115" s="57">
        <f>IF(AG115="0",J115,0)</f>
        <v>0</v>
      </c>
      <c r="Y115" s="48"/>
      <c r="Z115" s="34">
        <f>IF(AD115=0,J115,0)</f>
        <v>0</v>
      </c>
      <c r="AA115" s="34">
        <f>IF(AD115=15,J115,0)</f>
        <v>0</v>
      </c>
      <c r="AB115" s="34">
        <f>IF(AD115=21,J115,0)</f>
        <v>0</v>
      </c>
      <c r="AD115" s="57">
        <v>21</v>
      </c>
      <c r="AE115" s="57">
        <f>G115*1</f>
        <v>0</v>
      </c>
      <c r="AF115" s="57">
        <f>G115*(1-1)</f>
        <v>0</v>
      </c>
      <c r="AG115" s="55" t="s">
        <v>13</v>
      </c>
      <c r="AM115" s="57">
        <f>F115*AE115</f>
        <v>0</v>
      </c>
      <c r="AN115" s="57">
        <f>F115*AF115</f>
        <v>0</v>
      </c>
      <c r="AO115" s="58" t="s">
        <v>576</v>
      </c>
      <c r="AP115" s="58" t="s">
        <v>594</v>
      </c>
      <c r="AQ115" s="48" t="s">
        <v>600</v>
      </c>
      <c r="AS115" s="57">
        <f>AM115+AN115</f>
        <v>0</v>
      </c>
      <c r="AT115" s="57">
        <f>G115/(100-AU115)*100</f>
        <v>0</v>
      </c>
      <c r="AU115" s="57">
        <v>0</v>
      </c>
      <c r="AV115" s="57">
        <f>L115</f>
        <v>0.35516208</v>
      </c>
    </row>
    <row r="116" spans="4:6" ht="12.75">
      <c r="D116" s="27" t="s">
        <v>344</v>
      </c>
      <c r="F116" s="33">
        <v>170.751</v>
      </c>
    </row>
    <row r="117" spans="4:6" ht="12.75">
      <c r="D117" s="27" t="s">
        <v>345</v>
      </c>
      <c r="F117" s="33">
        <v>6.83004</v>
      </c>
    </row>
    <row r="118" spans="1:48" ht="12.75">
      <c r="A118" s="10" t="s">
        <v>40</v>
      </c>
      <c r="B118" s="10"/>
      <c r="C118" s="10" t="s">
        <v>153</v>
      </c>
      <c r="D118" s="10" t="s">
        <v>346</v>
      </c>
      <c r="E118" s="10" t="s">
        <v>529</v>
      </c>
      <c r="F118" s="32">
        <v>2.315</v>
      </c>
      <c r="G118" s="32">
        <v>0</v>
      </c>
      <c r="H118" s="32">
        <f>F118*AE118</f>
        <v>0</v>
      </c>
      <c r="I118" s="32">
        <f>J118-H118</f>
        <v>0</v>
      </c>
      <c r="J118" s="32">
        <f>F118*G118</f>
        <v>0</v>
      </c>
      <c r="K118" s="32">
        <v>0</v>
      </c>
      <c r="L118" s="32">
        <f>F118*K118</f>
        <v>0</v>
      </c>
      <c r="M118" s="54" t="s">
        <v>557</v>
      </c>
      <c r="P118" s="57">
        <f>IF(AG118="5",J118,0)</f>
        <v>0</v>
      </c>
      <c r="R118" s="57">
        <f>IF(AG118="1",H118,0)</f>
        <v>0</v>
      </c>
      <c r="S118" s="57">
        <f>IF(AG118="1",I118,0)</f>
        <v>0</v>
      </c>
      <c r="T118" s="57">
        <f>IF(AG118="7",H118,0)</f>
        <v>0</v>
      </c>
      <c r="U118" s="57">
        <f>IF(AG118="7",I118,0)</f>
        <v>0</v>
      </c>
      <c r="V118" s="57">
        <f>IF(AG118="2",H118,0)</f>
        <v>0</v>
      </c>
      <c r="W118" s="57">
        <f>IF(AG118="2",I118,0)</f>
        <v>0</v>
      </c>
      <c r="X118" s="57">
        <f>IF(AG118="0",J118,0)</f>
        <v>0</v>
      </c>
      <c r="Y118" s="48"/>
      <c r="Z118" s="32">
        <f>IF(AD118=0,J118,0)</f>
        <v>0</v>
      </c>
      <c r="AA118" s="32">
        <f>IF(AD118=15,J118,0)</f>
        <v>0</v>
      </c>
      <c r="AB118" s="32">
        <f>IF(AD118=21,J118,0)</f>
        <v>0</v>
      </c>
      <c r="AD118" s="57">
        <v>21</v>
      </c>
      <c r="AE118" s="57">
        <f>G118*0</f>
        <v>0</v>
      </c>
      <c r="AF118" s="57">
        <f>G118*(1-0)</f>
        <v>0</v>
      </c>
      <c r="AG118" s="54" t="s">
        <v>11</v>
      </c>
      <c r="AM118" s="57">
        <f>F118*AE118</f>
        <v>0</v>
      </c>
      <c r="AN118" s="57">
        <f>F118*AF118</f>
        <v>0</v>
      </c>
      <c r="AO118" s="58" t="s">
        <v>576</v>
      </c>
      <c r="AP118" s="58" t="s">
        <v>594</v>
      </c>
      <c r="AQ118" s="48" t="s">
        <v>600</v>
      </c>
      <c r="AS118" s="57">
        <f>AM118+AN118</f>
        <v>0</v>
      </c>
      <c r="AT118" s="57">
        <f>G118/(100-AU118)*100</f>
        <v>0</v>
      </c>
      <c r="AU118" s="57">
        <v>0</v>
      </c>
      <c r="AV118" s="57">
        <f>L118</f>
        <v>0</v>
      </c>
    </row>
    <row r="119" spans="4:6" ht="12.75">
      <c r="D119" s="27" t="s">
        <v>347</v>
      </c>
      <c r="F119" s="33">
        <v>2.315</v>
      </c>
    </row>
    <row r="120" spans="1:37" ht="12.75">
      <c r="A120" s="11"/>
      <c r="B120" s="23"/>
      <c r="C120" s="23" t="s">
        <v>154</v>
      </c>
      <c r="D120" s="23" t="s">
        <v>348</v>
      </c>
      <c r="E120" s="11" t="s">
        <v>6</v>
      </c>
      <c r="F120" s="11" t="s">
        <v>6</v>
      </c>
      <c r="G120" s="11" t="s">
        <v>6</v>
      </c>
      <c r="H120" s="60">
        <f>SUM(H121:H121)</f>
        <v>0</v>
      </c>
      <c r="I120" s="60">
        <f>SUM(I121:I121)</f>
        <v>0</v>
      </c>
      <c r="J120" s="60">
        <f>H120+I120</f>
        <v>0</v>
      </c>
      <c r="K120" s="48"/>
      <c r="L120" s="60">
        <f>SUM(L121:L121)</f>
        <v>0.02132</v>
      </c>
      <c r="M120" s="48"/>
      <c r="Y120" s="48"/>
      <c r="AI120" s="60">
        <f>SUM(Z121:Z121)</f>
        <v>0</v>
      </c>
      <c r="AJ120" s="60">
        <f>SUM(AA121:AA121)</f>
        <v>0</v>
      </c>
      <c r="AK120" s="60">
        <f>SUM(AB121:AB121)</f>
        <v>0</v>
      </c>
    </row>
    <row r="121" spans="1:48" ht="12.75">
      <c r="A121" s="10" t="s">
        <v>41</v>
      </c>
      <c r="B121" s="10"/>
      <c r="C121" s="10" t="s">
        <v>155</v>
      </c>
      <c r="D121" s="10" t="s">
        <v>349</v>
      </c>
      <c r="E121" s="10" t="s">
        <v>534</v>
      </c>
      <c r="F121" s="32">
        <v>1</v>
      </c>
      <c r="G121" s="32">
        <v>0</v>
      </c>
      <c r="H121" s="32">
        <f>F121*AE121</f>
        <v>0</v>
      </c>
      <c r="I121" s="32">
        <f>J121-H121</f>
        <v>0</v>
      </c>
      <c r="J121" s="32">
        <f>F121*G121</f>
        <v>0</v>
      </c>
      <c r="K121" s="32">
        <v>0.02132</v>
      </c>
      <c r="L121" s="32">
        <f>F121*K121</f>
        <v>0.02132</v>
      </c>
      <c r="M121" s="54" t="s">
        <v>557</v>
      </c>
      <c r="P121" s="57">
        <f>IF(AG121="5",J121,0)</f>
        <v>0</v>
      </c>
      <c r="R121" s="57">
        <f>IF(AG121="1",H121,0)</f>
        <v>0</v>
      </c>
      <c r="S121" s="57">
        <f>IF(AG121="1",I121,0)</f>
        <v>0</v>
      </c>
      <c r="T121" s="57">
        <f>IF(AG121="7",H121,0)</f>
        <v>0</v>
      </c>
      <c r="U121" s="57">
        <f>IF(AG121="7",I121,0)</f>
        <v>0</v>
      </c>
      <c r="V121" s="57">
        <f>IF(AG121="2",H121,0)</f>
        <v>0</v>
      </c>
      <c r="W121" s="57">
        <f>IF(AG121="2",I121,0)</f>
        <v>0</v>
      </c>
      <c r="X121" s="57">
        <f>IF(AG121="0",J121,0)</f>
        <v>0</v>
      </c>
      <c r="Y121" s="48"/>
      <c r="Z121" s="32">
        <f>IF(AD121=0,J121,0)</f>
        <v>0</v>
      </c>
      <c r="AA121" s="32">
        <f>IF(AD121=15,J121,0)</f>
        <v>0</v>
      </c>
      <c r="AB121" s="32">
        <f>IF(AD121=21,J121,0)</f>
        <v>0</v>
      </c>
      <c r="AD121" s="57">
        <v>21</v>
      </c>
      <c r="AE121" s="57">
        <f>G121*0.281453775055703</f>
        <v>0</v>
      </c>
      <c r="AF121" s="57">
        <f>G121*(1-0.281453775055703)</f>
        <v>0</v>
      </c>
      <c r="AG121" s="54" t="s">
        <v>13</v>
      </c>
      <c r="AM121" s="57">
        <f>F121*AE121</f>
        <v>0</v>
      </c>
      <c r="AN121" s="57">
        <f>F121*AF121</f>
        <v>0</v>
      </c>
      <c r="AO121" s="58" t="s">
        <v>577</v>
      </c>
      <c r="AP121" s="58" t="s">
        <v>595</v>
      </c>
      <c r="AQ121" s="48" t="s">
        <v>600</v>
      </c>
      <c r="AS121" s="57">
        <f>AM121+AN121</f>
        <v>0</v>
      </c>
      <c r="AT121" s="57">
        <f>G121/(100-AU121)*100</f>
        <v>0</v>
      </c>
      <c r="AU121" s="57">
        <v>0</v>
      </c>
      <c r="AV121" s="57">
        <f>L121</f>
        <v>0.02132</v>
      </c>
    </row>
    <row r="122" spans="4:6" ht="12.75">
      <c r="D122" s="27" t="s">
        <v>7</v>
      </c>
      <c r="F122" s="33">
        <v>1</v>
      </c>
    </row>
    <row r="123" spans="1:37" ht="12.75">
      <c r="A123" s="11"/>
      <c r="B123" s="23"/>
      <c r="C123" s="23" t="s">
        <v>156</v>
      </c>
      <c r="D123" s="23" t="s">
        <v>350</v>
      </c>
      <c r="E123" s="11" t="s">
        <v>6</v>
      </c>
      <c r="F123" s="11" t="s">
        <v>6</v>
      </c>
      <c r="G123" s="11" t="s">
        <v>6</v>
      </c>
      <c r="H123" s="60">
        <f>SUM(H124:H143)</f>
        <v>0</v>
      </c>
      <c r="I123" s="60">
        <f>SUM(I124:I143)</f>
        <v>0</v>
      </c>
      <c r="J123" s="60">
        <f>H123+I123</f>
        <v>0</v>
      </c>
      <c r="K123" s="48"/>
      <c r="L123" s="60">
        <f>SUM(L124:L143)</f>
        <v>8.368861904</v>
      </c>
      <c r="M123" s="48"/>
      <c r="Y123" s="48"/>
      <c r="AI123" s="60">
        <f>SUM(Z124:Z143)</f>
        <v>0</v>
      </c>
      <c r="AJ123" s="60">
        <f>SUM(AA124:AA143)</f>
        <v>0</v>
      </c>
      <c r="AK123" s="60">
        <f>SUM(AB124:AB143)</f>
        <v>0</v>
      </c>
    </row>
    <row r="124" spans="1:48" ht="12.75">
      <c r="A124" s="10" t="s">
        <v>42</v>
      </c>
      <c r="B124" s="10"/>
      <c r="C124" s="10" t="s">
        <v>157</v>
      </c>
      <c r="D124" s="10" t="s">
        <v>351</v>
      </c>
      <c r="E124" s="10" t="s">
        <v>531</v>
      </c>
      <c r="F124" s="32">
        <v>108.591</v>
      </c>
      <c r="G124" s="32">
        <v>0</v>
      </c>
      <c r="H124" s="32">
        <f>F124*AE124</f>
        <v>0</v>
      </c>
      <c r="I124" s="32">
        <f>J124-H124</f>
        <v>0</v>
      </c>
      <c r="J124" s="32">
        <f>F124*G124</f>
        <v>0</v>
      </c>
      <c r="K124" s="32">
        <v>0.014</v>
      </c>
      <c r="L124" s="32">
        <f>F124*K124</f>
        <v>1.520274</v>
      </c>
      <c r="M124" s="54" t="s">
        <v>557</v>
      </c>
      <c r="P124" s="57">
        <f>IF(AG124="5",J124,0)</f>
        <v>0</v>
      </c>
      <c r="R124" s="57">
        <f>IF(AG124="1",H124,0)</f>
        <v>0</v>
      </c>
      <c r="S124" s="57">
        <f>IF(AG124="1",I124,0)</f>
        <v>0</v>
      </c>
      <c r="T124" s="57">
        <f>IF(AG124="7",H124,0)</f>
        <v>0</v>
      </c>
      <c r="U124" s="57">
        <f>IF(AG124="7",I124,0)</f>
        <v>0</v>
      </c>
      <c r="V124" s="57">
        <f>IF(AG124="2",H124,0)</f>
        <v>0</v>
      </c>
      <c r="W124" s="57">
        <f>IF(AG124="2",I124,0)</f>
        <v>0</v>
      </c>
      <c r="X124" s="57">
        <f>IF(AG124="0",J124,0)</f>
        <v>0</v>
      </c>
      <c r="Y124" s="48"/>
      <c r="Z124" s="32">
        <f>IF(AD124=0,J124,0)</f>
        <v>0</v>
      </c>
      <c r="AA124" s="32">
        <f>IF(AD124=15,J124,0)</f>
        <v>0</v>
      </c>
      <c r="AB124" s="32">
        <f>IF(AD124=21,J124,0)</f>
        <v>0</v>
      </c>
      <c r="AD124" s="57">
        <v>21</v>
      </c>
      <c r="AE124" s="57">
        <f>G124*0</f>
        <v>0</v>
      </c>
      <c r="AF124" s="57">
        <f>G124*(1-0)</f>
        <v>0</v>
      </c>
      <c r="AG124" s="54" t="s">
        <v>13</v>
      </c>
      <c r="AM124" s="57">
        <f>F124*AE124</f>
        <v>0</v>
      </c>
      <c r="AN124" s="57">
        <f>F124*AF124</f>
        <v>0</v>
      </c>
      <c r="AO124" s="58" t="s">
        <v>578</v>
      </c>
      <c r="AP124" s="58" t="s">
        <v>596</v>
      </c>
      <c r="AQ124" s="48" t="s">
        <v>600</v>
      </c>
      <c r="AS124" s="57">
        <f>AM124+AN124</f>
        <v>0</v>
      </c>
      <c r="AT124" s="57">
        <f>G124/(100-AU124)*100</f>
        <v>0</v>
      </c>
      <c r="AU124" s="57">
        <v>0</v>
      </c>
      <c r="AV124" s="57">
        <f>L124</f>
        <v>1.520274</v>
      </c>
    </row>
    <row r="125" spans="4:6" ht="12.75">
      <c r="D125" s="27" t="s">
        <v>352</v>
      </c>
      <c r="F125" s="33">
        <v>108.591</v>
      </c>
    </row>
    <row r="126" spans="1:48" ht="12.75">
      <c r="A126" s="10" t="s">
        <v>43</v>
      </c>
      <c r="B126" s="10"/>
      <c r="C126" s="10" t="s">
        <v>158</v>
      </c>
      <c r="D126" s="10" t="s">
        <v>353</v>
      </c>
      <c r="E126" s="10" t="s">
        <v>531</v>
      </c>
      <c r="F126" s="32">
        <v>221.618</v>
      </c>
      <c r="G126" s="32">
        <v>0</v>
      </c>
      <c r="H126" s="32">
        <f>F126*AE126</f>
        <v>0</v>
      </c>
      <c r="I126" s="32">
        <f>J126-H126</f>
        <v>0</v>
      </c>
      <c r="J126" s="32">
        <f>F126*G126</f>
        <v>0</v>
      </c>
      <c r="K126" s="32">
        <v>0.015</v>
      </c>
      <c r="L126" s="32">
        <f>F126*K126</f>
        <v>3.32427</v>
      </c>
      <c r="M126" s="54" t="s">
        <v>557</v>
      </c>
      <c r="P126" s="57">
        <f>IF(AG126="5",J126,0)</f>
        <v>0</v>
      </c>
      <c r="R126" s="57">
        <f>IF(AG126="1",H126,0)</f>
        <v>0</v>
      </c>
      <c r="S126" s="57">
        <f>IF(AG126="1",I126,0)</f>
        <v>0</v>
      </c>
      <c r="T126" s="57">
        <f>IF(AG126="7",H126,0)</f>
        <v>0</v>
      </c>
      <c r="U126" s="57">
        <f>IF(AG126="7",I126,0)</f>
        <v>0</v>
      </c>
      <c r="V126" s="57">
        <f>IF(AG126="2",H126,0)</f>
        <v>0</v>
      </c>
      <c r="W126" s="57">
        <f>IF(AG126="2",I126,0)</f>
        <v>0</v>
      </c>
      <c r="X126" s="57">
        <f>IF(AG126="0",J126,0)</f>
        <v>0</v>
      </c>
      <c r="Y126" s="48"/>
      <c r="Z126" s="32">
        <f>IF(AD126=0,J126,0)</f>
        <v>0</v>
      </c>
      <c r="AA126" s="32">
        <f>IF(AD126=15,J126,0)</f>
        <v>0</v>
      </c>
      <c r="AB126" s="32">
        <f>IF(AD126=21,J126,0)</f>
        <v>0</v>
      </c>
      <c r="AD126" s="57">
        <v>21</v>
      </c>
      <c r="AE126" s="57">
        <f>G126*0</f>
        <v>0</v>
      </c>
      <c r="AF126" s="57">
        <f>G126*(1-0)</f>
        <v>0</v>
      </c>
      <c r="AG126" s="54" t="s">
        <v>13</v>
      </c>
      <c r="AM126" s="57">
        <f>F126*AE126</f>
        <v>0</v>
      </c>
      <c r="AN126" s="57">
        <f>F126*AF126</f>
        <v>0</v>
      </c>
      <c r="AO126" s="58" t="s">
        <v>578</v>
      </c>
      <c r="AP126" s="58" t="s">
        <v>596</v>
      </c>
      <c r="AQ126" s="48" t="s">
        <v>600</v>
      </c>
      <c r="AS126" s="57">
        <f>AM126+AN126</f>
        <v>0</v>
      </c>
      <c r="AT126" s="57">
        <f>G126/(100-AU126)*100</f>
        <v>0</v>
      </c>
      <c r="AU126" s="57">
        <v>0</v>
      </c>
      <c r="AV126" s="57">
        <f>L126</f>
        <v>3.32427</v>
      </c>
    </row>
    <row r="127" spans="4:6" ht="12.75">
      <c r="D127" s="27" t="s">
        <v>354</v>
      </c>
      <c r="F127" s="33">
        <v>138.818</v>
      </c>
    </row>
    <row r="128" spans="4:6" ht="12.75">
      <c r="D128" s="27" t="s">
        <v>355</v>
      </c>
      <c r="F128" s="33">
        <v>82.8</v>
      </c>
    </row>
    <row r="129" spans="1:48" ht="12.75">
      <c r="A129" s="10" t="s">
        <v>44</v>
      </c>
      <c r="B129" s="10"/>
      <c r="C129" s="10" t="s">
        <v>159</v>
      </c>
      <c r="D129" s="10" t="s">
        <v>356</v>
      </c>
      <c r="E129" s="10" t="s">
        <v>531</v>
      </c>
      <c r="F129" s="32">
        <v>221.618</v>
      </c>
      <c r="G129" s="32">
        <v>0</v>
      </c>
      <c r="H129" s="32">
        <f>F129*AE129</f>
        <v>0</v>
      </c>
      <c r="I129" s="32">
        <f>J129-H129</f>
        <v>0</v>
      </c>
      <c r="J129" s="32">
        <f>F129*G129</f>
        <v>0</v>
      </c>
      <c r="K129" s="32">
        <v>0.00155</v>
      </c>
      <c r="L129" s="32">
        <f>F129*K129</f>
        <v>0.3435079</v>
      </c>
      <c r="M129" s="54" t="s">
        <v>557</v>
      </c>
      <c r="P129" s="57">
        <f>IF(AG129="5",J129,0)</f>
        <v>0</v>
      </c>
      <c r="R129" s="57">
        <f>IF(AG129="1",H129,0)</f>
        <v>0</v>
      </c>
      <c r="S129" s="57">
        <f>IF(AG129="1",I129,0)</f>
        <v>0</v>
      </c>
      <c r="T129" s="57">
        <f>IF(AG129="7",H129,0)</f>
        <v>0</v>
      </c>
      <c r="U129" s="57">
        <f>IF(AG129="7",I129,0)</f>
        <v>0</v>
      </c>
      <c r="V129" s="57">
        <f>IF(AG129="2",H129,0)</f>
        <v>0</v>
      </c>
      <c r="W129" s="57">
        <f>IF(AG129="2",I129,0)</f>
        <v>0</v>
      </c>
      <c r="X129" s="57">
        <f>IF(AG129="0",J129,0)</f>
        <v>0</v>
      </c>
      <c r="Y129" s="48"/>
      <c r="Z129" s="32">
        <f>IF(AD129=0,J129,0)</f>
        <v>0</v>
      </c>
      <c r="AA129" s="32">
        <f>IF(AD129=15,J129,0)</f>
        <v>0</v>
      </c>
      <c r="AB129" s="32">
        <f>IF(AD129=21,J129,0)</f>
        <v>0</v>
      </c>
      <c r="AD129" s="57">
        <v>21</v>
      </c>
      <c r="AE129" s="57">
        <f>G129*0.506808573488381</f>
        <v>0</v>
      </c>
      <c r="AF129" s="57">
        <f>G129*(1-0.506808573488381)</f>
        <v>0</v>
      </c>
      <c r="AG129" s="54" t="s">
        <v>13</v>
      </c>
      <c r="AM129" s="57">
        <f>F129*AE129</f>
        <v>0</v>
      </c>
      <c r="AN129" s="57">
        <f>F129*AF129</f>
        <v>0</v>
      </c>
      <c r="AO129" s="58" t="s">
        <v>578</v>
      </c>
      <c r="AP129" s="58" t="s">
        <v>596</v>
      </c>
      <c r="AQ129" s="48" t="s">
        <v>600</v>
      </c>
      <c r="AS129" s="57">
        <f>AM129+AN129</f>
        <v>0</v>
      </c>
      <c r="AT129" s="57">
        <f>G129/(100-AU129)*100</f>
        <v>0</v>
      </c>
      <c r="AU129" s="57">
        <v>0</v>
      </c>
      <c r="AV129" s="57">
        <f>L129</f>
        <v>0.3435079</v>
      </c>
    </row>
    <row r="130" spans="4:6" ht="12.75">
      <c r="D130" s="27" t="s">
        <v>357</v>
      </c>
      <c r="F130" s="33">
        <v>221.618</v>
      </c>
    </row>
    <row r="131" spans="1:48" ht="12.75">
      <c r="A131" s="10" t="s">
        <v>45</v>
      </c>
      <c r="B131" s="10"/>
      <c r="C131" s="10" t="s">
        <v>160</v>
      </c>
      <c r="D131" s="10" t="s">
        <v>358</v>
      </c>
      <c r="E131" s="10" t="s">
        <v>531</v>
      </c>
      <c r="F131" s="32">
        <v>221.618</v>
      </c>
      <c r="G131" s="32">
        <v>0</v>
      </c>
      <c r="H131" s="32">
        <f>F131*AE131</f>
        <v>0</v>
      </c>
      <c r="I131" s="32">
        <f>J131-H131</f>
        <v>0</v>
      </c>
      <c r="J131" s="32">
        <f>F131*G131</f>
        <v>0</v>
      </c>
      <c r="K131" s="32">
        <v>0</v>
      </c>
      <c r="L131" s="32">
        <f>F131*K131</f>
        <v>0</v>
      </c>
      <c r="M131" s="54" t="s">
        <v>557</v>
      </c>
      <c r="P131" s="57">
        <f>IF(AG131="5",J131,0)</f>
        <v>0</v>
      </c>
      <c r="R131" s="57">
        <f>IF(AG131="1",H131,0)</f>
        <v>0</v>
      </c>
      <c r="S131" s="57">
        <f>IF(AG131="1",I131,0)</f>
        <v>0</v>
      </c>
      <c r="T131" s="57">
        <f>IF(AG131="7",H131,0)</f>
        <v>0</v>
      </c>
      <c r="U131" s="57">
        <f>IF(AG131="7",I131,0)</f>
        <v>0</v>
      </c>
      <c r="V131" s="57">
        <f>IF(AG131="2",H131,0)</f>
        <v>0</v>
      </c>
      <c r="W131" s="57">
        <f>IF(AG131="2",I131,0)</f>
        <v>0</v>
      </c>
      <c r="X131" s="57">
        <f>IF(AG131="0",J131,0)</f>
        <v>0</v>
      </c>
      <c r="Y131" s="48"/>
      <c r="Z131" s="32">
        <f>IF(AD131=0,J131,0)</f>
        <v>0</v>
      </c>
      <c r="AA131" s="32">
        <f>IF(AD131=15,J131,0)</f>
        <v>0</v>
      </c>
      <c r="AB131" s="32">
        <f>IF(AD131=21,J131,0)</f>
        <v>0</v>
      </c>
      <c r="AD131" s="57">
        <v>21</v>
      </c>
      <c r="AE131" s="57">
        <f>G131*0</f>
        <v>0</v>
      </c>
      <c r="AF131" s="57">
        <f>G131*(1-0)</f>
        <v>0</v>
      </c>
      <c r="AG131" s="54" t="s">
        <v>13</v>
      </c>
      <c r="AM131" s="57">
        <f>F131*AE131</f>
        <v>0</v>
      </c>
      <c r="AN131" s="57">
        <f>F131*AF131</f>
        <v>0</v>
      </c>
      <c r="AO131" s="58" t="s">
        <v>578</v>
      </c>
      <c r="AP131" s="58" t="s">
        <v>596</v>
      </c>
      <c r="AQ131" s="48" t="s">
        <v>600</v>
      </c>
      <c r="AS131" s="57">
        <f>AM131+AN131</f>
        <v>0</v>
      </c>
      <c r="AT131" s="57">
        <f>G131/(100-AU131)*100</f>
        <v>0</v>
      </c>
      <c r="AU131" s="57">
        <v>0</v>
      </c>
      <c r="AV131" s="57">
        <f>L131</f>
        <v>0</v>
      </c>
    </row>
    <row r="132" spans="4:6" ht="12.75">
      <c r="D132" s="27" t="s">
        <v>318</v>
      </c>
      <c r="F132" s="33">
        <v>221.618</v>
      </c>
    </row>
    <row r="133" spans="1:48" ht="12.75">
      <c r="A133" s="12" t="s">
        <v>46</v>
      </c>
      <c r="B133" s="12"/>
      <c r="C133" s="12" t="s">
        <v>161</v>
      </c>
      <c r="D133" s="12" t="s">
        <v>359</v>
      </c>
      <c r="E133" s="12" t="s">
        <v>531</v>
      </c>
      <c r="F133" s="34">
        <v>234.91508</v>
      </c>
      <c r="G133" s="34">
        <v>0</v>
      </c>
      <c r="H133" s="34">
        <f>F133*AE133</f>
        <v>0</v>
      </c>
      <c r="I133" s="34">
        <f>J133-H133</f>
        <v>0</v>
      </c>
      <c r="J133" s="34">
        <f>F133*G133</f>
        <v>0</v>
      </c>
      <c r="K133" s="34">
        <v>0.0113</v>
      </c>
      <c r="L133" s="34">
        <f>F133*K133</f>
        <v>2.6545404039999996</v>
      </c>
      <c r="M133" s="55" t="s">
        <v>557</v>
      </c>
      <c r="P133" s="57">
        <f>IF(AG133="5",J133,0)</f>
        <v>0</v>
      </c>
      <c r="R133" s="57">
        <f>IF(AG133="1",H133,0)</f>
        <v>0</v>
      </c>
      <c r="S133" s="57">
        <f>IF(AG133="1",I133,0)</f>
        <v>0</v>
      </c>
      <c r="T133" s="57">
        <f>IF(AG133="7",H133,0)</f>
        <v>0</v>
      </c>
      <c r="U133" s="57">
        <f>IF(AG133="7",I133,0)</f>
        <v>0</v>
      </c>
      <c r="V133" s="57">
        <f>IF(AG133="2",H133,0)</f>
        <v>0</v>
      </c>
      <c r="W133" s="57">
        <f>IF(AG133="2",I133,0)</f>
        <v>0</v>
      </c>
      <c r="X133" s="57">
        <f>IF(AG133="0",J133,0)</f>
        <v>0</v>
      </c>
      <c r="Y133" s="48"/>
      <c r="Z133" s="34">
        <f>IF(AD133=0,J133,0)</f>
        <v>0</v>
      </c>
      <c r="AA133" s="34">
        <f>IF(AD133=15,J133,0)</f>
        <v>0</v>
      </c>
      <c r="AB133" s="34">
        <f>IF(AD133=21,J133,0)</f>
        <v>0</v>
      </c>
      <c r="AD133" s="57">
        <v>21</v>
      </c>
      <c r="AE133" s="57">
        <f>G133*1</f>
        <v>0</v>
      </c>
      <c r="AF133" s="57">
        <f>G133*(1-1)</f>
        <v>0</v>
      </c>
      <c r="AG133" s="55" t="s">
        <v>13</v>
      </c>
      <c r="AM133" s="57">
        <f>F133*AE133</f>
        <v>0</v>
      </c>
      <c r="AN133" s="57">
        <f>F133*AF133</f>
        <v>0</v>
      </c>
      <c r="AO133" s="58" t="s">
        <v>578</v>
      </c>
      <c r="AP133" s="58" t="s">
        <v>596</v>
      </c>
      <c r="AQ133" s="48" t="s">
        <v>600</v>
      </c>
      <c r="AS133" s="57">
        <f>AM133+AN133</f>
        <v>0</v>
      </c>
      <c r="AT133" s="57">
        <f>G133/(100-AU133)*100</f>
        <v>0</v>
      </c>
      <c r="AU133" s="57">
        <v>0</v>
      </c>
      <c r="AV133" s="57">
        <f>L133</f>
        <v>2.6545404039999996</v>
      </c>
    </row>
    <row r="134" spans="4:6" ht="12.75">
      <c r="D134" s="27" t="s">
        <v>318</v>
      </c>
      <c r="F134" s="33">
        <v>221.618</v>
      </c>
    </row>
    <row r="135" spans="4:6" ht="12.75">
      <c r="D135" s="27" t="s">
        <v>360</v>
      </c>
      <c r="F135" s="33">
        <v>13.29708</v>
      </c>
    </row>
    <row r="136" spans="1:48" ht="12.75">
      <c r="A136" s="12" t="s">
        <v>47</v>
      </c>
      <c r="B136" s="12"/>
      <c r="C136" s="12" t="s">
        <v>162</v>
      </c>
      <c r="D136" s="12" t="s">
        <v>361</v>
      </c>
      <c r="E136" s="12" t="s">
        <v>531</v>
      </c>
      <c r="F136" s="34">
        <v>243.7798</v>
      </c>
      <c r="G136" s="34">
        <v>0</v>
      </c>
      <c r="H136" s="34">
        <f>F136*AE136</f>
        <v>0</v>
      </c>
      <c r="I136" s="34">
        <f>J136-H136</f>
        <v>0</v>
      </c>
      <c r="J136" s="34">
        <f>F136*G136</f>
        <v>0</v>
      </c>
      <c r="K136" s="34">
        <v>0.002</v>
      </c>
      <c r="L136" s="34">
        <f>F136*K136</f>
        <v>0.4875596</v>
      </c>
      <c r="M136" s="55" t="s">
        <v>557</v>
      </c>
      <c r="P136" s="57">
        <f>IF(AG136="5",J136,0)</f>
        <v>0</v>
      </c>
      <c r="R136" s="57">
        <f>IF(AG136="1",H136,0)</f>
        <v>0</v>
      </c>
      <c r="S136" s="57">
        <f>IF(AG136="1",I136,0)</f>
        <v>0</v>
      </c>
      <c r="T136" s="57">
        <f>IF(AG136="7",H136,0)</f>
        <v>0</v>
      </c>
      <c r="U136" s="57">
        <f>IF(AG136="7",I136,0)</f>
        <v>0</v>
      </c>
      <c r="V136" s="57">
        <f>IF(AG136="2",H136,0)</f>
        <v>0</v>
      </c>
      <c r="W136" s="57">
        <f>IF(AG136="2",I136,0)</f>
        <v>0</v>
      </c>
      <c r="X136" s="57">
        <f>IF(AG136="0",J136,0)</f>
        <v>0</v>
      </c>
      <c r="Y136" s="48"/>
      <c r="Z136" s="34">
        <f>IF(AD136=0,J136,0)</f>
        <v>0</v>
      </c>
      <c r="AA136" s="34">
        <f>IF(AD136=15,J136,0)</f>
        <v>0</v>
      </c>
      <c r="AB136" s="34">
        <f>IF(AD136=21,J136,0)</f>
        <v>0</v>
      </c>
      <c r="AD136" s="57">
        <v>21</v>
      </c>
      <c r="AE136" s="57">
        <f>G136*1</f>
        <v>0</v>
      </c>
      <c r="AF136" s="57">
        <f>G136*(1-1)</f>
        <v>0</v>
      </c>
      <c r="AG136" s="55" t="s">
        <v>13</v>
      </c>
      <c r="AM136" s="57">
        <f>F136*AE136</f>
        <v>0</v>
      </c>
      <c r="AN136" s="57">
        <f>F136*AF136</f>
        <v>0</v>
      </c>
      <c r="AO136" s="58" t="s">
        <v>578</v>
      </c>
      <c r="AP136" s="58" t="s">
        <v>596</v>
      </c>
      <c r="AQ136" s="48" t="s">
        <v>600</v>
      </c>
      <c r="AS136" s="57">
        <f>AM136+AN136</f>
        <v>0</v>
      </c>
      <c r="AT136" s="57">
        <f>G136/(100-AU136)*100</f>
        <v>0</v>
      </c>
      <c r="AU136" s="57">
        <v>0</v>
      </c>
      <c r="AV136" s="57">
        <f>L136</f>
        <v>0.4875596</v>
      </c>
    </row>
    <row r="137" spans="4:6" ht="12.75">
      <c r="D137" s="27" t="s">
        <v>318</v>
      </c>
      <c r="F137" s="33">
        <v>221.618</v>
      </c>
    </row>
    <row r="138" spans="4:6" ht="12.75">
      <c r="D138" s="27" t="s">
        <v>362</v>
      </c>
      <c r="F138" s="33">
        <v>22.1618</v>
      </c>
    </row>
    <row r="139" spans="1:48" ht="12.75">
      <c r="A139" s="10" t="s">
        <v>48</v>
      </c>
      <c r="B139" s="10"/>
      <c r="C139" s="10" t="s">
        <v>163</v>
      </c>
      <c r="D139" s="10" t="s">
        <v>363</v>
      </c>
      <c r="E139" s="10" t="s">
        <v>535</v>
      </c>
      <c r="F139" s="32">
        <v>79</v>
      </c>
      <c r="G139" s="32">
        <v>0</v>
      </c>
      <c r="H139" s="32">
        <f>F139*AE139</f>
        <v>0</v>
      </c>
      <c r="I139" s="32">
        <f>J139-H139</f>
        <v>0</v>
      </c>
      <c r="J139" s="32">
        <f>F139*G139</f>
        <v>0</v>
      </c>
      <c r="K139" s="32">
        <v>0.00049</v>
      </c>
      <c r="L139" s="32">
        <f>F139*K139</f>
        <v>0.03871</v>
      </c>
      <c r="M139" s="54" t="s">
        <v>557</v>
      </c>
      <c r="P139" s="57">
        <f>IF(AG139="5",J139,0)</f>
        <v>0</v>
      </c>
      <c r="R139" s="57">
        <f>IF(AG139="1",H139,0)</f>
        <v>0</v>
      </c>
      <c r="S139" s="57">
        <f>IF(AG139="1",I139,0)</f>
        <v>0</v>
      </c>
      <c r="T139" s="57">
        <f>IF(AG139="7",H139,0)</f>
        <v>0</v>
      </c>
      <c r="U139" s="57">
        <f>IF(AG139="7",I139,0)</f>
        <v>0</v>
      </c>
      <c r="V139" s="57">
        <f>IF(AG139="2",H139,0)</f>
        <v>0</v>
      </c>
      <c r="W139" s="57">
        <f>IF(AG139="2",I139,0)</f>
        <v>0</v>
      </c>
      <c r="X139" s="57">
        <f>IF(AG139="0",J139,0)</f>
        <v>0</v>
      </c>
      <c r="Y139" s="48"/>
      <c r="Z139" s="32">
        <f>IF(AD139=0,J139,0)</f>
        <v>0</v>
      </c>
      <c r="AA139" s="32">
        <f>IF(AD139=15,J139,0)</f>
        <v>0</v>
      </c>
      <c r="AB139" s="32">
        <f>IF(AD139=21,J139,0)</f>
        <v>0</v>
      </c>
      <c r="AD139" s="57">
        <v>21</v>
      </c>
      <c r="AE139" s="57">
        <f>G139*0.257488372093023</f>
        <v>0</v>
      </c>
      <c r="AF139" s="57">
        <f>G139*(1-0.257488372093023)</f>
        <v>0</v>
      </c>
      <c r="AG139" s="54" t="s">
        <v>13</v>
      </c>
      <c r="AM139" s="57">
        <f>F139*AE139</f>
        <v>0</v>
      </c>
      <c r="AN139" s="57">
        <f>F139*AF139</f>
        <v>0</v>
      </c>
      <c r="AO139" s="58" t="s">
        <v>578</v>
      </c>
      <c r="AP139" s="58" t="s">
        <v>596</v>
      </c>
      <c r="AQ139" s="48" t="s">
        <v>600</v>
      </c>
      <c r="AS139" s="57">
        <f>AM139+AN139</f>
        <v>0</v>
      </c>
      <c r="AT139" s="57">
        <f>G139/(100-AU139)*100</f>
        <v>0</v>
      </c>
      <c r="AU139" s="57">
        <v>0</v>
      </c>
      <c r="AV139" s="57">
        <f>L139</f>
        <v>0.03871</v>
      </c>
    </row>
    <row r="140" spans="4:6" ht="12.75">
      <c r="D140" s="27" t="s">
        <v>364</v>
      </c>
      <c r="F140" s="33">
        <v>79</v>
      </c>
    </row>
    <row r="141" spans="1:48" ht="12.75">
      <c r="A141" s="10" t="s">
        <v>49</v>
      </c>
      <c r="B141" s="10"/>
      <c r="C141" s="10" t="s">
        <v>164</v>
      </c>
      <c r="D141" s="10" t="s">
        <v>365</v>
      </c>
      <c r="E141" s="10" t="s">
        <v>531</v>
      </c>
      <c r="F141" s="32">
        <v>117.504</v>
      </c>
      <c r="G141" s="32">
        <v>0</v>
      </c>
      <c r="H141" s="32">
        <f>F141*AE141</f>
        <v>0</v>
      </c>
      <c r="I141" s="32">
        <f>J141-H141</f>
        <v>0</v>
      </c>
      <c r="J141" s="32">
        <f>F141*G141</f>
        <v>0</v>
      </c>
      <c r="K141" s="32">
        <v>0</v>
      </c>
      <c r="L141" s="32">
        <f>F141*K141</f>
        <v>0</v>
      </c>
      <c r="M141" s="54" t="s">
        <v>557</v>
      </c>
      <c r="P141" s="57">
        <f>IF(AG141="5",J141,0)</f>
        <v>0</v>
      </c>
      <c r="R141" s="57">
        <f>IF(AG141="1",H141,0)</f>
        <v>0</v>
      </c>
      <c r="S141" s="57">
        <f>IF(AG141="1",I141,0)</f>
        <v>0</v>
      </c>
      <c r="T141" s="57">
        <f>IF(AG141="7",H141,0)</f>
        <v>0</v>
      </c>
      <c r="U141" s="57">
        <f>IF(AG141="7",I141,0)</f>
        <v>0</v>
      </c>
      <c r="V141" s="57">
        <f>IF(AG141="2",H141,0)</f>
        <v>0</v>
      </c>
      <c r="W141" s="57">
        <f>IF(AG141="2",I141,0)</f>
        <v>0</v>
      </c>
      <c r="X141" s="57">
        <f>IF(AG141="0",J141,0)</f>
        <v>0</v>
      </c>
      <c r="Y141" s="48"/>
      <c r="Z141" s="32">
        <f>IF(AD141=0,J141,0)</f>
        <v>0</v>
      </c>
      <c r="AA141" s="32">
        <f>IF(AD141=15,J141,0)</f>
        <v>0</v>
      </c>
      <c r="AB141" s="32">
        <f>IF(AD141=21,J141,0)</f>
        <v>0</v>
      </c>
      <c r="AD141" s="57">
        <v>21</v>
      </c>
      <c r="AE141" s="57">
        <f>G141*0</f>
        <v>0</v>
      </c>
      <c r="AF141" s="57">
        <f>G141*(1-0)</f>
        <v>0</v>
      </c>
      <c r="AG141" s="54" t="s">
        <v>13</v>
      </c>
      <c r="AM141" s="57">
        <f>F141*AE141</f>
        <v>0</v>
      </c>
      <c r="AN141" s="57">
        <f>F141*AF141</f>
        <v>0</v>
      </c>
      <c r="AO141" s="58" t="s">
        <v>578</v>
      </c>
      <c r="AP141" s="58" t="s">
        <v>596</v>
      </c>
      <c r="AQ141" s="48" t="s">
        <v>600</v>
      </c>
      <c r="AS141" s="57">
        <f>AM141+AN141</f>
        <v>0</v>
      </c>
      <c r="AT141" s="57">
        <f>G141/(100-AU141)*100</f>
        <v>0</v>
      </c>
      <c r="AU141" s="57">
        <v>0</v>
      </c>
      <c r="AV141" s="57">
        <f>L141</f>
        <v>0</v>
      </c>
    </row>
    <row r="142" spans="4:6" ht="12.75">
      <c r="D142" s="27" t="s">
        <v>366</v>
      </c>
      <c r="F142" s="33">
        <v>117.504</v>
      </c>
    </row>
    <row r="143" spans="1:48" ht="12.75">
      <c r="A143" s="10" t="s">
        <v>50</v>
      </c>
      <c r="B143" s="10"/>
      <c r="C143" s="10" t="s">
        <v>165</v>
      </c>
      <c r="D143" s="10" t="s">
        <v>367</v>
      </c>
      <c r="E143" s="10" t="s">
        <v>529</v>
      </c>
      <c r="F143" s="32">
        <v>3.53</v>
      </c>
      <c r="G143" s="32">
        <v>0</v>
      </c>
      <c r="H143" s="32">
        <f>F143*AE143</f>
        <v>0</v>
      </c>
      <c r="I143" s="32">
        <f>J143-H143</f>
        <v>0</v>
      </c>
      <c r="J143" s="32">
        <f>F143*G143</f>
        <v>0</v>
      </c>
      <c r="K143" s="32">
        <v>0</v>
      </c>
      <c r="L143" s="32">
        <f>F143*K143</f>
        <v>0</v>
      </c>
      <c r="M143" s="54" t="s">
        <v>557</v>
      </c>
      <c r="P143" s="57">
        <f>IF(AG143="5",J143,0)</f>
        <v>0</v>
      </c>
      <c r="R143" s="57">
        <f>IF(AG143="1",H143,0)</f>
        <v>0</v>
      </c>
      <c r="S143" s="57">
        <f>IF(AG143="1",I143,0)</f>
        <v>0</v>
      </c>
      <c r="T143" s="57">
        <f>IF(AG143="7",H143,0)</f>
        <v>0</v>
      </c>
      <c r="U143" s="57">
        <f>IF(AG143="7",I143,0)</f>
        <v>0</v>
      </c>
      <c r="V143" s="57">
        <f>IF(AG143="2",H143,0)</f>
        <v>0</v>
      </c>
      <c r="W143" s="57">
        <f>IF(AG143="2",I143,0)</f>
        <v>0</v>
      </c>
      <c r="X143" s="57">
        <f>IF(AG143="0",J143,0)</f>
        <v>0</v>
      </c>
      <c r="Y143" s="48"/>
      <c r="Z143" s="32">
        <f>IF(AD143=0,J143,0)</f>
        <v>0</v>
      </c>
      <c r="AA143" s="32">
        <f>IF(AD143=15,J143,0)</f>
        <v>0</v>
      </c>
      <c r="AB143" s="32">
        <f>IF(AD143=21,J143,0)</f>
        <v>0</v>
      </c>
      <c r="AD143" s="57">
        <v>21</v>
      </c>
      <c r="AE143" s="57">
        <f>G143*0</f>
        <v>0</v>
      </c>
      <c r="AF143" s="57">
        <f>G143*(1-0)</f>
        <v>0</v>
      </c>
      <c r="AG143" s="54" t="s">
        <v>11</v>
      </c>
      <c r="AM143" s="57">
        <f>F143*AE143</f>
        <v>0</v>
      </c>
      <c r="AN143" s="57">
        <f>F143*AF143</f>
        <v>0</v>
      </c>
      <c r="AO143" s="58" t="s">
        <v>578</v>
      </c>
      <c r="AP143" s="58" t="s">
        <v>596</v>
      </c>
      <c r="AQ143" s="48" t="s">
        <v>600</v>
      </c>
      <c r="AS143" s="57">
        <f>AM143+AN143</f>
        <v>0</v>
      </c>
      <c r="AT143" s="57">
        <f>G143/(100-AU143)*100</f>
        <v>0</v>
      </c>
      <c r="AU143" s="57">
        <v>0</v>
      </c>
      <c r="AV143" s="57">
        <f>L143</f>
        <v>0</v>
      </c>
    </row>
    <row r="144" spans="4:6" ht="12.75">
      <c r="D144" s="27" t="s">
        <v>368</v>
      </c>
      <c r="F144" s="33">
        <v>3.53</v>
      </c>
    </row>
    <row r="145" spans="1:37" ht="12.75">
      <c r="A145" s="11"/>
      <c r="B145" s="23"/>
      <c r="C145" s="23" t="s">
        <v>166</v>
      </c>
      <c r="D145" s="23" t="s">
        <v>369</v>
      </c>
      <c r="E145" s="11" t="s">
        <v>6</v>
      </c>
      <c r="F145" s="11" t="s">
        <v>6</v>
      </c>
      <c r="G145" s="11" t="s">
        <v>6</v>
      </c>
      <c r="H145" s="60">
        <f>SUM(H146:H166)</f>
        <v>0</v>
      </c>
      <c r="I145" s="60">
        <f>SUM(I146:I166)</f>
        <v>0</v>
      </c>
      <c r="J145" s="60">
        <f>H145+I145</f>
        <v>0</v>
      </c>
      <c r="K145" s="48"/>
      <c r="L145" s="60">
        <f>SUM(L146:L166)</f>
        <v>0.5036704000000001</v>
      </c>
      <c r="M145" s="48"/>
      <c r="Y145" s="48"/>
      <c r="AI145" s="60">
        <f>SUM(Z146:Z166)</f>
        <v>0</v>
      </c>
      <c r="AJ145" s="60">
        <f>SUM(AA146:AA166)</f>
        <v>0</v>
      </c>
      <c r="AK145" s="60">
        <f>SUM(AB146:AB166)</f>
        <v>0</v>
      </c>
    </row>
    <row r="146" spans="1:48" ht="12.75">
      <c r="A146" s="10" t="s">
        <v>51</v>
      </c>
      <c r="B146" s="10"/>
      <c r="C146" s="10" t="s">
        <v>167</v>
      </c>
      <c r="D146" s="10" t="s">
        <v>370</v>
      </c>
      <c r="E146" s="10" t="s">
        <v>535</v>
      </c>
      <c r="F146" s="32">
        <v>30.4</v>
      </c>
      <c r="G146" s="32">
        <v>0</v>
      </c>
      <c r="H146" s="32">
        <f>F146*AE146</f>
        <v>0</v>
      </c>
      <c r="I146" s="32">
        <f>J146-H146</f>
        <v>0</v>
      </c>
      <c r="J146" s="32">
        <f>F146*G146</f>
        <v>0</v>
      </c>
      <c r="K146" s="32">
        <v>0.00308</v>
      </c>
      <c r="L146" s="32">
        <f>F146*K146</f>
        <v>0.09363199999999999</v>
      </c>
      <c r="M146" s="54" t="s">
        <v>557</v>
      </c>
      <c r="P146" s="57">
        <f>IF(AG146="5",J146,0)</f>
        <v>0</v>
      </c>
      <c r="R146" s="57">
        <f>IF(AG146="1",H146,0)</f>
        <v>0</v>
      </c>
      <c r="S146" s="57">
        <f>IF(AG146="1",I146,0)</f>
        <v>0</v>
      </c>
      <c r="T146" s="57">
        <f>IF(AG146="7",H146,0)</f>
        <v>0</v>
      </c>
      <c r="U146" s="57">
        <f>IF(AG146="7",I146,0)</f>
        <v>0</v>
      </c>
      <c r="V146" s="57">
        <f>IF(AG146="2",H146,0)</f>
        <v>0</v>
      </c>
      <c r="W146" s="57">
        <f>IF(AG146="2",I146,0)</f>
        <v>0</v>
      </c>
      <c r="X146" s="57">
        <f>IF(AG146="0",J146,0)</f>
        <v>0</v>
      </c>
      <c r="Y146" s="48"/>
      <c r="Z146" s="32">
        <f>IF(AD146=0,J146,0)</f>
        <v>0</v>
      </c>
      <c r="AA146" s="32">
        <f>IF(AD146=15,J146,0)</f>
        <v>0</v>
      </c>
      <c r="AB146" s="32">
        <f>IF(AD146=21,J146,0)</f>
        <v>0</v>
      </c>
      <c r="AD146" s="57">
        <v>21</v>
      </c>
      <c r="AE146" s="57">
        <f>G146*0.599180327868852</f>
        <v>0</v>
      </c>
      <c r="AF146" s="57">
        <f>G146*(1-0.599180327868852)</f>
        <v>0</v>
      </c>
      <c r="AG146" s="54" t="s">
        <v>13</v>
      </c>
      <c r="AM146" s="57">
        <f>F146*AE146</f>
        <v>0</v>
      </c>
      <c r="AN146" s="57">
        <f>F146*AF146</f>
        <v>0</v>
      </c>
      <c r="AO146" s="58" t="s">
        <v>579</v>
      </c>
      <c r="AP146" s="58" t="s">
        <v>596</v>
      </c>
      <c r="AQ146" s="48" t="s">
        <v>600</v>
      </c>
      <c r="AS146" s="57">
        <f>AM146+AN146</f>
        <v>0</v>
      </c>
      <c r="AT146" s="57">
        <f>G146/(100-AU146)*100</f>
        <v>0</v>
      </c>
      <c r="AU146" s="57">
        <v>0</v>
      </c>
      <c r="AV146" s="57">
        <f>L146</f>
        <v>0.09363199999999999</v>
      </c>
    </row>
    <row r="147" spans="4:6" ht="12.75">
      <c r="D147" s="27" t="s">
        <v>371</v>
      </c>
      <c r="F147" s="33">
        <v>30.4</v>
      </c>
    </row>
    <row r="148" spans="1:48" ht="12.75">
      <c r="A148" s="10" t="s">
        <v>52</v>
      </c>
      <c r="B148" s="10"/>
      <c r="C148" s="10" t="s">
        <v>168</v>
      </c>
      <c r="D148" s="10" t="s">
        <v>372</v>
      </c>
      <c r="E148" s="10" t="s">
        <v>535</v>
      </c>
      <c r="F148" s="32">
        <v>34.4</v>
      </c>
      <c r="G148" s="32">
        <v>0</v>
      </c>
      <c r="H148" s="32">
        <f>F148*AE148</f>
        <v>0</v>
      </c>
      <c r="I148" s="32">
        <f>J148-H148</f>
        <v>0</v>
      </c>
      <c r="J148" s="32">
        <f>F148*G148</f>
        <v>0</v>
      </c>
      <c r="K148" s="32">
        <v>0.00483</v>
      </c>
      <c r="L148" s="32">
        <f>F148*K148</f>
        <v>0.166152</v>
      </c>
      <c r="M148" s="54" t="s">
        <v>557</v>
      </c>
      <c r="P148" s="57">
        <f>IF(AG148="5",J148,0)</f>
        <v>0</v>
      </c>
      <c r="R148" s="57">
        <f>IF(AG148="1",H148,0)</f>
        <v>0</v>
      </c>
      <c r="S148" s="57">
        <f>IF(AG148="1",I148,0)</f>
        <v>0</v>
      </c>
      <c r="T148" s="57">
        <f>IF(AG148="7",H148,0)</f>
        <v>0</v>
      </c>
      <c r="U148" s="57">
        <f>IF(AG148="7",I148,0)</f>
        <v>0</v>
      </c>
      <c r="V148" s="57">
        <f>IF(AG148="2",H148,0)</f>
        <v>0</v>
      </c>
      <c r="W148" s="57">
        <f>IF(AG148="2",I148,0)</f>
        <v>0</v>
      </c>
      <c r="X148" s="57">
        <f>IF(AG148="0",J148,0)</f>
        <v>0</v>
      </c>
      <c r="Y148" s="48"/>
      <c r="Z148" s="32">
        <f>IF(AD148=0,J148,0)</f>
        <v>0</v>
      </c>
      <c r="AA148" s="32">
        <f>IF(AD148=15,J148,0)</f>
        <v>0</v>
      </c>
      <c r="AB148" s="32">
        <f>IF(AD148=21,J148,0)</f>
        <v>0</v>
      </c>
      <c r="AD148" s="57">
        <v>21</v>
      </c>
      <c r="AE148" s="57">
        <f>G148*0.550648275862069</f>
        <v>0</v>
      </c>
      <c r="AF148" s="57">
        <f>G148*(1-0.550648275862069)</f>
        <v>0</v>
      </c>
      <c r="AG148" s="54" t="s">
        <v>13</v>
      </c>
      <c r="AM148" s="57">
        <f>F148*AE148</f>
        <v>0</v>
      </c>
      <c r="AN148" s="57">
        <f>F148*AF148</f>
        <v>0</v>
      </c>
      <c r="AO148" s="58" t="s">
        <v>579</v>
      </c>
      <c r="AP148" s="58" t="s">
        <v>596</v>
      </c>
      <c r="AQ148" s="48" t="s">
        <v>600</v>
      </c>
      <c r="AS148" s="57">
        <f>AM148+AN148</f>
        <v>0</v>
      </c>
      <c r="AT148" s="57">
        <f>G148/(100-AU148)*100</f>
        <v>0</v>
      </c>
      <c r="AU148" s="57">
        <v>0</v>
      </c>
      <c r="AV148" s="57">
        <f>L148</f>
        <v>0.166152</v>
      </c>
    </row>
    <row r="149" spans="4:6" ht="12.75">
      <c r="D149" s="27" t="s">
        <v>373</v>
      </c>
      <c r="F149" s="33">
        <v>34.4</v>
      </c>
    </row>
    <row r="150" spans="1:48" ht="12.75">
      <c r="A150" s="10" t="s">
        <v>53</v>
      </c>
      <c r="B150" s="10"/>
      <c r="C150" s="10" t="s">
        <v>169</v>
      </c>
      <c r="D150" s="10" t="s">
        <v>374</v>
      </c>
      <c r="E150" s="10" t="s">
        <v>535</v>
      </c>
      <c r="F150" s="32">
        <v>34.5</v>
      </c>
      <c r="G150" s="32">
        <v>0</v>
      </c>
      <c r="H150" s="32">
        <f>F150*AE150</f>
        <v>0</v>
      </c>
      <c r="I150" s="32">
        <f>J150-H150</f>
        <v>0</v>
      </c>
      <c r="J150" s="32">
        <f>F150*G150</f>
        <v>0</v>
      </c>
      <c r="K150" s="32">
        <v>0.003</v>
      </c>
      <c r="L150" s="32">
        <f>F150*K150</f>
        <v>0.10350000000000001</v>
      </c>
      <c r="M150" s="54" t="s">
        <v>557</v>
      </c>
      <c r="P150" s="57">
        <f>IF(AG150="5",J150,0)</f>
        <v>0</v>
      </c>
      <c r="R150" s="57">
        <f>IF(AG150="1",H150,0)</f>
        <v>0</v>
      </c>
      <c r="S150" s="57">
        <f>IF(AG150="1",I150,0)</f>
        <v>0</v>
      </c>
      <c r="T150" s="57">
        <f>IF(AG150="7",H150,0)</f>
        <v>0</v>
      </c>
      <c r="U150" s="57">
        <f>IF(AG150="7",I150,0)</f>
        <v>0</v>
      </c>
      <c r="V150" s="57">
        <f>IF(AG150="2",H150,0)</f>
        <v>0</v>
      </c>
      <c r="W150" s="57">
        <f>IF(AG150="2",I150,0)</f>
        <v>0</v>
      </c>
      <c r="X150" s="57">
        <f>IF(AG150="0",J150,0)</f>
        <v>0</v>
      </c>
      <c r="Y150" s="48"/>
      <c r="Z150" s="32">
        <f>IF(AD150=0,J150,0)</f>
        <v>0</v>
      </c>
      <c r="AA150" s="32">
        <f>IF(AD150=15,J150,0)</f>
        <v>0</v>
      </c>
      <c r="AB150" s="32">
        <f>IF(AD150=21,J150,0)</f>
        <v>0</v>
      </c>
      <c r="AD150" s="57">
        <v>21</v>
      </c>
      <c r="AE150" s="57">
        <f>G150*0.570486486486486</f>
        <v>0</v>
      </c>
      <c r="AF150" s="57">
        <f>G150*(1-0.570486486486486)</f>
        <v>0</v>
      </c>
      <c r="AG150" s="54" t="s">
        <v>13</v>
      </c>
      <c r="AM150" s="57">
        <f>F150*AE150</f>
        <v>0</v>
      </c>
      <c r="AN150" s="57">
        <f>F150*AF150</f>
        <v>0</v>
      </c>
      <c r="AO150" s="58" t="s">
        <v>579</v>
      </c>
      <c r="AP150" s="58" t="s">
        <v>596</v>
      </c>
      <c r="AQ150" s="48" t="s">
        <v>600</v>
      </c>
      <c r="AS150" s="57">
        <f>AM150+AN150</f>
        <v>0</v>
      </c>
      <c r="AT150" s="57">
        <f>G150/(100-AU150)*100</f>
        <v>0</v>
      </c>
      <c r="AU150" s="57">
        <v>0</v>
      </c>
      <c r="AV150" s="57">
        <f>L150</f>
        <v>0.10350000000000001</v>
      </c>
    </row>
    <row r="151" spans="4:6" ht="12.75">
      <c r="D151" s="27" t="s">
        <v>375</v>
      </c>
      <c r="F151" s="33">
        <v>34.5</v>
      </c>
    </row>
    <row r="152" spans="1:48" ht="12.75">
      <c r="A152" s="10" t="s">
        <v>54</v>
      </c>
      <c r="B152" s="10"/>
      <c r="C152" s="10" t="s">
        <v>170</v>
      </c>
      <c r="D152" s="10" t="s">
        <v>376</v>
      </c>
      <c r="E152" s="10" t="s">
        <v>535</v>
      </c>
      <c r="F152" s="32">
        <v>5.5</v>
      </c>
      <c r="G152" s="32">
        <v>0</v>
      </c>
      <c r="H152" s="32">
        <f>F152*AE152</f>
        <v>0</v>
      </c>
      <c r="I152" s="32">
        <f>J152-H152</f>
        <v>0</v>
      </c>
      <c r="J152" s="32">
        <f>F152*G152</f>
        <v>0</v>
      </c>
      <c r="K152" s="32">
        <v>0.00288</v>
      </c>
      <c r="L152" s="32">
        <f>F152*K152</f>
        <v>0.01584</v>
      </c>
      <c r="M152" s="54" t="s">
        <v>557</v>
      </c>
      <c r="P152" s="57">
        <f>IF(AG152="5",J152,0)</f>
        <v>0</v>
      </c>
      <c r="R152" s="57">
        <f>IF(AG152="1",H152,0)</f>
        <v>0</v>
      </c>
      <c r="S152" s="57">
        <f>IF(AG152="1",I152,0)</f>
        <v>0</v>
      </c>
      <c r="T152" s="57">
        <f>IF(AG152="7",H152,0)</f>
        <v>0</v>
      </c>
      <c r="U152" s="57">
        <f>IF(AG152="7",I152,0)</f>
        <v>0</v>
      </c>
      <c r="V152" s="57">
        <f>IF(AG152="2",H152,0)</f>
        <v>0</v>
      </c>
      <c r="W152" s="57">
        <f>IF(AG152="2",I152,0)</f>
        <v>0</v>
      </c>
      <c r="X152" s="57">
        <f>IF(AG152="0",J152,0)</f>
        <v>0</v>
      </c>
      <c r="Y152" s="48"/>
      <c r="Z152" s="32">
        <f>IF(AD152=0,J152,0)</f>
        <v>0</v>
      </c>
      <c r="AA152" s="32">
        <f>IF(AD152=15,J152,0)</f>
        <v>0</v>
      </c>
      <c r="AB152" s="32">
        <f>IF(AD152=21,J152,0)</f>
        <v>0</v>
      </c>
      <c r="AD152" s="57">
        <v>21</v>
      </c>
      <c r="AE152" s="57">
        <f>G152*0.495935135135135</f>
        <v>0</v>
      </c>
      <c r="AF152" s="57">
        <f>G152*(1-0.495935135135135)</f>
        <v>0</v>
      </c>
      <c r="AG152" s="54" t="s">
        <v>13</v>
      </c>
      <c r="AM152" s="57">
        <f>F152*AE152</f>
        <v>0</v>
      </c>
      <c r="AN152" s="57">
        <f>F152*AF152</f>
        <v>0</v>
      </c>
      <c r="AO152" s="58" t="s">
        <v>579</v>
      </c>
      <c r="AP152" s="58" t="s">
        <v>596</v>
      </c>
      <c r="AQ152" s="48" t="s">
        <v>600</v>
      </c>
      <c r="AS152" s="57">
        <f>AM152+AN152</f>
        <v>0</v>
      </c>
      <c r="AT152" s="57">
        <f>G152/(100-AU152)*100</f>
        <v>0</v>
      </c>
      <c r="AU152" s="57">
        <v>0</v>
      </c>
      <c r="AV152" s="57">
        <f>L152</f>
        <v>0.01584</v>
      </c>
    </row>
    <row r="153" spans="4:6" ht="12.75">
      <c r="D153" s="27" t="s">
        <v>377</v>
      </c>
      <c r="F153" s="33">
        <v>5.5</v>
      </c>
    </row>
    <row r="154" spans="1:48" ht="12.75">
      <c r="A154" s="10" t="s">
        <v>55</v>
      </c>
      <c r="B154" s="10"/>
      <c r="C154" s="10" t="s">
        <v>171</v>
      </c>
      <c r="D154" s="10" t="s">
        <v>378</v>
      </c>
      <c r="E154" s="10" t="s">
        <v>535</v>
      </c>
      <c r="F154" s="32">
        <v>34.5</v>
      </c>
      <c r="G154" s="32">
        <v>0</v>
      </c>
      <c r="H154" s="32">
        <f>F154*AE154</f>
        <v>0</v>
      </c>
      <c r="I154" s="32">
        <f>J154-H154</f>
        <v>0</v>
      </c>
      <c r="J154" s="32">
        <f>F154*G154</f>
        <v>0</v>
      </c>
      <c r="K154" s="32">
        <v>0.00222</v>
      </c>
      <c r="L154" s="32">
        <f>F154*K154</f>
        <v>0.07659</v>
      </c>
      <c r="M154" s="54" t="s">
        <v>557</v>
      </c>
      <c r="P154" s="57">
        <f>IF(AG154="5",J154,0)</f>
        <v>0</v>
      </c>
      <c r="R154" s="57">
        <f>IF(AG154="1",H154,0)</f>
        <v>0</v>
      </c>
      <c r="S154" s="57">
        <f>IF(AG154="1",I154,0)</f>
        <v>0</v>
      </c>
      <c r="T154" s="57">
        <f>IF(AG154="7",H154,0)</f>
        <v>0</v>
      </c>
      <c r="U154" s="57">
        <f>IF(AG154="7",I154,0)</f>
        <v>0</v>
      </c>
      <c r="V154" s="57">
        <f>IF(AG154="2",H154,0)</f>
        <v>0</v>
      </c>
      <c r="W154" s="57">
        <f>IF(AG154="2",I154,0)</f>
        <v>0</v>
      </c>
      <c r="X154" s="57">
        <f>IF(AG154="0",J154,0)</f>
        <v>0</v>
      </c>
      <c r="Y154" s="48"/>
      <c r="Z154" s="32">
        <f>IF(AD154=0,J154,0)</f>
        <v>0</v>
      </c>
      <c r="AA154" s="32">
        <f>IF(AD154=15,J154,0)</f>
        <v>0</v>
      </c>
      <c r="AB154" s="32">
        <f>IF(AD154=21,J154,0)</f>
        <v>0</v>
      </c>
      <c r="AD154" s="57">
        <v>21</v>
      </c>
      <c r="AE154" s="57">
        <f>G154*0.734993197278912</f>
        <v>0</v>
      </c>
      <c r="AF154" s="57">
        <f>G154*(1-0.734993197278912)</f>
        <v>0</v>
      </c>
      <c r="AG154" s="54" t="s">
        <v>13</v>
      </c>
      <c r="AM154" s="57">
        <f>F154*AE154</f>
        <v>0</v>
      </c>
      <c r="AN154" s="57">
        <f>F154*AF154</f>
        <v>0</v>
      </c>
      <c r="AO154" s="58" t="s">
        <v>579</v>
      </c>
      <c r="AP154" s="58" t="s">
        <v>596</v>
      </c>
      <c r="AQ154" s="48" t="s">
        <v>600</v>
      </c>
      <c r="AS154" s="57">
        <f>AM154+AN154</f>
        <v>0</v>
      </c>
      <c r="AT154" s="57">
        <f>G154/(100-AU154)*100</f>
        <v>0</v>
      </c>
      <c r="AU154" s="57">
        <v>0</v>
      </c>
      <c r="AV154" s="57">
        <f>L154</f>
        <v>0.07659</v>
      </c>
    </row>
    <row r="155" spans="4:6" ht="12.75">
      <c r="D155" s="27" t="s">
        <v>379</v>
      </c>
      <c r="F155" s="33">
        <v>34.5</v>
      </c>
    </row>
    <row r="156" spans="1:48" ht="12.75">
      <c r="A156" s="10" t="s">
        <v>56</v>
      </c>
      <c r="B156" s="10"/>
      <c r="C156" s="10" t="s">
        <v>172</v>
      </c>
      <c r="D156" s="10" t="s">
        <v>380</v>
      </c>
      <c r="E156" s="10" t="s">
        <v>535</v>
      </c>
      <c r="F156" s="32">
        <v>6.2</v>
      </c>
      <c r="G156" s="32">
        <v>0</v>
      </c>
      <c r="H156" s="32">
        <f>F156*AE156</f>
        <v>0</v>
      </c>
      <c r="I156" s="32">
        <f>J156-H156</f>
        <v>0</v>
      </c>
      <c r="J156" s="32">
        <f>F156*G156</f>
        <v>0</v>
      </c>
      <c r="K156" s="32">
        <v>0.00224</v>
      </c>
      <c r="L156" s="32">
        <f>F156*K156</f>
        <v>0.013888</v>
      </c>
      <c r="M156" s="54" t="s">
        <v>557</v>
      </c>
      <c r="P156" s="57">
        <f>IF(AG156="5",J156,0)</f>
        <v>0</v>
      </c>
      <c r="R156" s="57">
        <f>IF(AG156="1",H156,0)</f>
        <v>0</v>
      </c>
      <c r="S156" s="57">
        <f>IF(AG156="1",I156,0)</f>
        <v>0</v>
      </c>
      <c r="T156" s="57">
        <f>IF(AG156="7",H156,0)</f>
        <v>0</v>
      </c>
      <c r="U156" s="57">
        <f>IF(AG156="7",I156,0)</f>
        <v>0</v>
      </c>
      <c r="V156" s="57">
        <f>IF(AG156="2",H156,0)</f>
        <v>0</v>
      </c>
      <c r="W156" s="57">
        <f>IF(AG156="2",I156,0)</f>
        <v>0</v>
      </c>
      <c r="X156" s="57">
        <f>IF(AG156="0",J156,0)</f>
        <v>0</v>
      </c>
      <c r="Y156" s="48"/>
      <c r="Z156" s="32">
        <f>IF(AD156=0,J156,0)</f>
        <v>0</v>
      </c>
      <c r="AA156" s="32">
        <f>IF(AD156=15,J156,0)</f>
        <v>0</v>
      </c>
      <c r="AB156" s="32">
        <f>IF(AD156=21,J156,0)</f>
        <v>0</v>
      </c>
      <c r="AD156" s="57">
        <v>21</v>
      </c>
      <c r="AE156" s="57">
        <f>G156*0.733272251308901</f>
        <v>0</v>
      </c>
      <c r="AF156" s="57">
        <f>G156*(1-0.733272251308901)</f>
        <v>0</v>
      </c>
      <c r="AG156" s="54" t="s">
        <v>13</v>
      </c>
      <c r="AM156" s="57">
        <f>F156*AE156</f>
        <v>0</v>
      </c>
      <c r="AN156" s="57">
        <f>F156*AF156</f>
        <v>0</v>
      </c>
      <c r="AO156" s="58" t="s">
        <v>579</v>
      </c>
      <c r="AP156" s="58" t="s">
        <v>596</v>
      </c>
      <c r="AQ156" s="48" t="s">
        <v>600</v>
      </c>
      <c r="AS156" s="57">
        <f>AM156+AN156</f>
        <v>0</v>
      </c>
      <c r="AT156" s="57">
        <f>G156/(100-AU156)*100</f>
        <v>0</v>
      </c>
      <c r="AU156" s="57">
        <v>0</v>
      </c>
      <c r="AV156" s="57">
        <f>L156</f>
        <v>0.013888</v>
      </c>
    </row>
    <row r="157" spans="4:6" ht="12.75">
      <c r="D157" s="27" t="s">
        <v>381</v>
      </c>
      <c r="F157" s="33">
        <v>6.2</v>
      </c>
    </row>
    <row r="158" spans="1:48" ht="12.75">
      <c r="A158" s="10" t="s">
        <v>57</v>
      </c>
      <c r="B158" s="10"/>
      <c r="C158" s="10" t="s">
        <v>173</v>
      </c>
      <c r="D158" s="10" t="s">
        <v>382</v>
      </c>
      <c r="E158" s="10" t="s">
        <v>532</v>
      </c>
      <c r="F158" s="32">
        <v>4</v>
      </c>
      <c r="G158" s="32">
        <v>0</v>
      </c>
      <c r="H158" s="32">
        <f>F158*AE158</f>
        <v>0</v>
      </c>
      <c r="I158" s="32">
        <f>J158-H158</f>
        <v>0</v>
      </c>
      <c r="J158" s="32">
        <f>F158*G158</f>
        <v>0</v>
      </c>
      <c r="K158" s="32">
        <v>0.00064</v>
      </c>
      <c r="L158" s="32">
        <f>F158*K158</f>
        <v>0.00256</v>
      </c>
      <c r="M158" s="54" t="s">
        <v>557</v>
      </c>
      <c r="P158" s="57">
        <f>IF(AG158="5",J158,0)</f>
        <v>0</v>
      </c>
      <c r="R158" s="57">
        <f>IF(AG158="1",H158,0)</f>
        <v>0</v>
      </c>
      <c r="S158" s="57">
        <f>IF(AG158="1",I158,0)</f>
        <v>0</v>
      </c>
      <c r="T158" s="57">
        <f>IF(AG158="7",H158,0)</f>
        <v>0</v>
      </c>
      <c r="U158" s="57">
        <f>IF(AG158="7",I158,0)</f>
        <v>0</v>
      </c>
      <c r="V158" s="57">
        <f>IF(AG158="2",H158,0)</f>
        <v>0</v>
      </c>
      <c r="W158" s="57">
        <f>IF(AG158="2",I158,0)</f>
        <v>0</v>
      </c>
      <c r="X158" s="57">
        <f>IF(AG158="0",J158,0)</f>
        <v>0</v>
      </c>
      <c r="Y158" s="48"/>
      <c r="Z158" s="32">
        <f>IF(AD158=0,J158,0)</f>
        <v>0</v>
      </c>
      <c r="AA158" s="32">
        <f>IF(AD158=15,J158,0)</f>
        <v>0</v>
      </c>
      <c r="AB158" s="32">
        <f>IF(AD158=21,J158,0)</f>
        <v>0</v>
      </c>
      <c r="AD158" s="57">
        <v>21</v>
      </c>
      <c r="AE158" s="57">
        <f>G158*0.788724544480171</f>
        <v>0</v>
      </c>
      <c r="AF158" s="57">
        <f>G158*(1-0.788724544480171)</f>
        <v>0</v>
      </c>
      <c r="AG158" s="54" t="s">
        <v>13</v>
      </c>
      <c r="AM158" s="57">
        <f>F158*AE158</f>
        <v>0</v>
      </c>
      <c r="AN158" s="57">
        <f>F158*AF158</f>
        <v>0</v>
      </c>
      <c r="AO158" s="58" t="s">
        <v>579</v>
      </c>
      <c r="AP158" s="58" t="s">
        <v>596</v>
      </c>
      <c r="AQ158" s="48" t="s">
        <v>600</v>
      </c>
      <c r="AS158" s="57">
        <f>AM158+AN158</f>
        <v>0</v>
      </c>
      <c r="AT158" s="57">
        <f>G158/(100-AU158)*100</f>
        <v>0</v>
      </c>
      <c r="AU158" s="57">
        <v>0</v>
      </c>
      <c r="AV158" s="57">
        <f>L158</f>
        <v>0.00256</v>
      </c>
    </row>
    <row r="159" spans="4:6" ht="12.75">
      <c r="D159" s="27" t="s">
        <v>10</v>
      </c>
      <c r="F159" s="33">
        <v>4</v>
      </c>
    </row>
    <row r="160" spans="1:48" ht="12.75">
      <c r="A160" s="10" t="s">
        <v>58</v>
      </c>
      <c r="B160" s="10"/>
      <c r="C160" s="10" t="s">
        <v>174</v>
      </c>
      <c r="D160" s="10" t="s">
        <v>383</v>
      </c>
      <c r="E160" s="10" t="s">
        <v>535</v>
      </c>
      <c r="F160" s="32">
        <v>25.41</v>
      </c>
      <c r="G160" s="32">
        <v>0</v>
      </c>
      <c r="H160" s="32">
        <f>F160*AE160</f>
        <v>0</v>
      </c>
      <c r="I160" s="32">
        <f>J160-H160</f>
        <v>0</v>
      </c>
      <c r="J160" s="32">
        <f>F160*G160</f>
        <v>0</v>
      </c>
      <c r="K160" s="32">
        <v>0.00124</v>
      </c>
      <c r="L160" s="32">
        <f>F160*K160</f>
        <v>0.0315084</v>
      </c>
      <c r="M160" s="54" t="s">
        <v>557</v>
      </c>
      <c r="P160" s="57">
        <f>IF(AG160="5",J160,0)</f>
        <v>0</v>
      </c>
      <c r="R160" s="57">
        <f>IF(AG160="1",H160,0)</f>
        <v>0</v>
      </c>
      <c r="S160" s="57">
        <f>IF(AG160="1",I160,0)</f>
        <v>0</v>
      </c>
      <c r="T160" s="57">
        <f>IF(AG160="7",H160,0)</f>
        <v>0</v>
      </c>
      <c r="U160" s="57">
        <f>IF(AG160="7",I160,0)</f>
        <v>0</v>
      </c>
      <c r="V160" s="57">
        <f>IF(AG160="2",H160,0)</f>
        <v>0</v>
      </c>
      <c r="W160" s="57">
        <f>IF(AG160="2",I160,0)</f>
        <v>0</v>
      </c>
      <c r="X160" s="57">
        <f>IF(AG160="0",J160,0)</f>
        <v>0</v>
      </c>
      <c r="Y160" s="48"/>
      <c r="Z160" s="32">
        <f>IF(AD160=0,J160,0)</f>
        <v>0</v>
      </c>
      <c r="AA160" s="32">
        <f>IF(AD160=15,J160,0)</f>
        <v>0</v>
      </c>
      <c r="AB160" s="32">
        <f>IF(AD160=21,J160,0)</f>
        <v>0</v>
      </c>
      <c r="AD160" s="57">
        <v>21</v>
      </c>
      <c r="AE160" s="57">
        <f>G160*0.322204899777283</f>
        <v>0</v>
      </c>
      <c r="AF160" s="57">
        <f>G160*(1-0.322204899777283)</f>
        <v>0</v>
      </c>
      <c r="AG160" s="54" t="s">
        <v>13</v>
      </c>
      <c r="AM160" s="57">
        <f>F160*AE160</f>
        <v>0</v>
      </c>
      <c r="AN160" s="57">
        <f>F160*AF160</f>
        <v>0</v>
      </c>
      <c r="AO160" s="58" t="s">
        <v>579</v>
      </c>
      <c r="AP160" s="58" t="s">
        <v>596</v>
      </c>
      <c r="AQ160" s="48" t="s">
        <v>600</v>
      </c>
      <c r="AS160" s="57">
        <f>AM160+AN160</f>
        <v>0</v>
      </c>
      <c r="AT160" s="57">
        <f>G160/(100-AU160)*100</f>
        <v>0</v>
      </c>
      <c r="AU160" s="57">
        <v>0</v>
      </c>
      <c r="AV160" s="57">
        <f>L160</f>
        <v>0.0315084</v>
      </c>
    </row>
    <row r="161" spans="4:6" ht="12.75">
      <c r="D161" s="27" t="s">
        <v>384</v>
      </c>
      <c r="F161" s="33">
        <v>21</v>
      </c>
    </row>
    <row r="162" spans="4:6" ht="12.75">
      <c r="D162" s="27" t="s">
        <v>385</v>
      </c>
      <c r="F162" s="33">
        <v>1.66</v>
      </c>
    </row>
    <row r="163" spans="4:6" ht="12.75">
      <c r="D163" s="27" t="s">
        <v>386</v>
      </c>
      <c r="F163" s="33">
        <v>0.85</v>
      </c>
    </row>
    <row r="164" spans="4:6" ht="12.75">
      <c r="D164" s="27" t="s">
        <v>387</v>
      </c>
      <c r="F164" s="33">
        <v>0.9</v>
      </c>
    </row>
    <row r="165" spans="4:6" ht="12.75">
      <c r="D165" s="27" t="s">
        <v>388</v>
      </c>
      <c r="F165" s="33">
        <v>1</v>
      </c>
    </row>
    <row r="166" spans="1:48" ht="12.75">
      <c r="A166" s="10" t="s">
        <v>59</v>
      </c>
      <c r="B166" s="10"/>
      <c r="C166" s="10" t="s">
        <v>175</v>
      </c>
      <c r="D166" s="10" t="s">
        <v>389</v>
      </c>
      <c r="E166" s="10" t="s">
        <v>529</v>
      </c>
      <c r="F166" s="32">
        <v>0.504</v>
      </c>
      <c r="G166" s="32">
        <v>0</v>
      </c>
      <c r="H166" s="32">
        <f>F166*AE166</f>
        <v>0</v>
      </c>
      <c r="I166" s="32">
        <f>J166-H166</f>
        <v>0</v>
      </c>
      <c r="J166" s="32">
        <f>F166*G166</f>
        <v>0</v>
      </c>
      <c r="K166" s="32">
        <v>0</v>
      </c>
      <c r="L166" s="32">
        <f>F166*K166</f>
        <v>0</v>
      </c>
      <c r="M166" s="54" t="s">
        <v>557</v>
      </c>
      <c r="P166" s="57">
        <f>IF(AG166="5",J166,0)</f>
        <v>0</v>
      </c>
      <c r="R166" s="57">
        <f>IF(AG166="1",H166,0)</f>
        <v>0</v>
      </c>
      <c r="S166" s="57">
        <f>IF(AG166="1",I166,0)</f>
        <v>0</v>
      </c>
      <c r="T166" s="57">
        <f>IF(AG166="7",H166,0)</f>
        <v>0</v>
      </c>
      <c r="U166" s="57">
        <f>IF(AG166="7",I166,0)</f>
        <v>0</v>
      </c>
      <c r="V166" s="57">
        <f>IF(AG166="2",H166,0)</f>
        <v>0</v>
      </c>
      <c r="W166" s="57">
        <f>IF(AG166="2",I166,0)</f>
        <v>0</v>
      </c>
      <c r="X166" s="57">
        <f>IF(AG166="0",J166,0)</f>
        <v>0</v>
      </c>
      <c r="Y166" s="48"/>
      <c r="Z166" s="32">
        <f>IF(AD166=0,J166,0)</f>
        <v>0</v>
      </c>
      <c r="AA166" s="32">
        <f>IF(AD166=15,J166,0)</f>
        <v>0</v>
      </c>
      <c r="AB166" s="32">
        <f>IF(AD166=21,J166,0)</f>
        <v>0</v>
      </c>
      <c r="AD166" s="57">
        <v>21</v>
      </c>
      <c r="AE166" s="57">
        <f>G166*0</f>
        <v>0</v>
      </c>
      <c r="AF166" s="57">
        <f>G166*(1-0)</f>
        <v>0</v>
      </c>
      <c r="AG166" s="54" t="s">
        <v>11</v>
      </c>
      <c r="AM166" s="57">
        <f>F166*AE166</f>
        <v>0</v>
      </c>
      <c r="AN166" s="57">
        <f>F166*AF166</f>
        <v>0</v>
      </c>
      <c r="AO166" s="58" t="s">
        <v>579</v>
      </c>
      <c r="AP166" s="58" t="s">
        <v>596</v>
      </c>
      <c r="AQ166" s="48" t="s">
        <v>600</v>
      </c>
      <c r="AS166" s="57">
        <f>AM166+AN166</f>
        <v>0</v>
      </c>
      <c r="AT166" s="57">
        <f>G166/(100-AU166)*100</f>
        <v>0</v>
      </c>
      <c r="AU166" s="57">
        <v>0</v>
      </c>
      <c r="AV166" s="57">
        <f>L166</f>
        <v>0</v>
      </c>
    </row>
    <row r="167" spans="4:6" ht="12.75">
      <c r="D167" s="27" t="s">
        <v>390</v>
      </c>
      <c r="F167" s="33">
        <v>0.504</v>
      </c>
    </row>
    <row r="168" spans="1:37" ht="12.75">
      <c r="A168" s="11"/>
      <c r="B168" s="23"/>
      <c r="C168" s="23" t="s">
        <v>176</v>
      </c>
      <c r="D168" s="23" t="s">
        <v>391</v>
      </c>
      <c r="E168" s="11" t="s">
        <v>6</v>
      </c>
      <c r="F168" s="11" t="s">
        <v>6</v>
      </c>
      <c r="G168" s="11" t="s">
        <v>6</v>
      </c>
      <c r="H168" s="60">
        <f>SUM(H169:H201)</f>
        <v>0</v>
      </c>
      <c r="I168" s="60">
        <f>SUM(I169:I201)</f>
        <v>0</v>
      </c>
      <c r="J168" s="60">
        <f>H168+I168</f>
        <v>0</v>
      </c>
      <c r="K168" s="48"/>
      <c r="L168" s="60">
        <f>SUM(L169:L201)</f>
        <v>3.6472709000000005</v>
      </c>
      <c r="M168" s="48"/>
      <c r="Y168" s="48"/>
      <c r="AI168" s="60">
        <f>SUM(Z169:Z201)</f>
        <v>0</v>
      </c>
      <c r="AJ168" s="60">
        <f>SUM(AA169:AA201)</f>
        <v>0</v>
      </c>
      <c r="AK168" s="60">
        <f>SUM(AB169:AB201)</f>
        <v>0</v>
      </c>
    </row>
    <row r="169" spans="1:48" ht="12.75">
      <c r="A169" s="10" t="s">
        <v>60</v>
      </c>
      <c r="B169" s="10"/>
      <c r="C169" s="10" t="s">
        <v>177</v>
      </c>
      <c r="D169" s="10" t="s">
        <v>392</v>
      </c>
      <c r="E169" s="10" t="s">
        <v>535</v>
      </c>
      <c r="F169" s="32">
        <v>25.41</v>
      </c>
      <c r="G169" s="32">
        <v>0</v>
      </c>
      <c r="H169" s="32">
        <f>F169*AE169</f>
        <v>0</v>
      </c>
      <c r="I169" s="32">
        <f>J169-H169</f>
        <v>0</v>
      </c>
      <c r="J169" s="32">
        <f>F169*G169</f>
        <v>0</v>
      </c>
      <c r="K169" s="32">
        <v>0.00249</v>
      </c>
      <c r="L169" s="32">
        <f>F169*K169</f>
        <v>0.0632709</v>
      </c>
      <c r="M169" s="54" t="s">
        <v>557</v>
      </c>
      <c r="P169" s="57">
        <f>IF(AG169="5",J169,0)</f>
        <v>0</v>
      </c>
      <c r="R169" s="57">
        <f>IF(AG169="1",H169,0)</f>
        <v>0</v>
      </c>
      <c r="S169" s="57">
        <f>IF(AG169="1",I169,0)</f>
        <v>0</v>
      </c>
      <c r="T169" s="57">
        <f>IF(AG169="7",H169,0)</f>
        <v>0</v>
      </c>
      <c r="U169" s="57">
        <f>IF(AG169="7",I169,0)</f>
        <v>0</v>
      </c>
      <c r="V169" s="57">
        <f>IF(AG169="2",H169,0)</f>
        <v>0</v>
      </c>
      <c r="W169" s="57">
        <f>IF(AG169="2",I169,0)</f>
        <v>0</v>
      </c>
      <c r="X169" s="57">
        <f>IF(AG169="0",J169,0)</f>
        <v>0</v>
      </c>
      <c r="Y169" s="48"/>
      <c r="Z169" s="32">
        <f>IF(AD169=0,J169,0)</f>
        <v>0</v>
      </c>
      <c r="AA169" s="32">
        <f>IF(AD169=15,J169,0)</f>
        <v>0</v>
      </c>
      <c r="AB169" s="32">
        <f>IF(AD169=21,J169,0)</f>
        <v>0</v>
      </c>
      <c r="AD169" s="57">
        <v>21</v>
      </c>
      <c r="AE169" s="57">
        <f>G169*0.550617040748541</f>
        <v>0</v>
      </c>
      <c r="AF169" s="57">
        <f>G169*(1-0.550617040748541)</f>
        <v>0</v>
      </c>
      <c r="AG169" s="54" t="s">
        <v>13</v>
      </c>
      <c r="AM169" s="57">
        <f>F169*AE169</f>
        <v>0</v>
      </c>
      <c r="AN169" s="57">
        <f>F169*AF169</f>
        <v>0</v>
      </c>
      <c r="AO169" s="58" t="s">
        <v>580</v>
      </c>
      <c r="AP169" s="58" t="s">
        <v>596</v>
      </c>
      <c r="AQ169" s="48" t="s">
        <v>600</v>
      </c>
      <c r="AS169" s="57">
        <f>AM169+AN169</f>
        <v>0</v>
      </c>
      <c r="AT169" s="57">
        <f>G169/(100-AU169)*100</f>
        <v>0</v>
      </c>
      <c r="AU169" s="57">
        <v>0</v>
      </c>
      <c r="AV169" s="57">
        <f>L169</f>
        <v>0.0632709</v>
      </c>
    </row>
    <row r="170" spans="4:6" ht="12.75">
      <c r="D170" s="27" t="s">
        <v>393</v>
      </c>
      <c r="F170" s="33">
        <v>25.41</v>
      </c>
    </row>
    <row r="171" spans="1:48" ht="12.75">
      <c r="A171" s="10" t="s">
        <v>61</v>
      </c>
      <c r="B171" s="10"/>
      <c r="C171" s="10" t="s">
        <v>178</v>
      </c>
      <c r="D171" s="10" t="s">
        <v>394</v>
      </c>
      <c r="E171" s="10" t="s">
        <v>532</v>
      </c>
      <c r="F171" s="32">
        <v>14</v>
      </c>
      <c r="G171" s="32">
        <v>0</v>
      </c>
      <c r="H171" s="32">
        <f>F171*AE171</f>
        <v>0</v>
      </c>
      <c r="I171" s="32">
        <f>J171-H171</f>
        <v>0</v>
      </c>
      <c r="J171" s="32">
        <f>F171*G171</f>
        <v>0</v>
      </c>
      <c r="K171" s="32">
        <v>0.0012</v>
      </c>
      <c r="L171" s="32">
        <f>F171*K171</f>
        <v>0.0168</v>
      </c>
      <c r="M171" s="54" t="s">
        <v>557</v>
      </c>
      <c r="P171" s="57">
        <f>IF(AG171="5",J171,0)</f>
        <v>0</v>
      </c>
      <c r="R171" s="57">
        <f>IF(AG171="1",H171,0)</f>
        <v>0</v>
      </c>
      <c r="S171" s="57">
        <f>IF(AG171="1",I171,0)</f>
        <v>0</v>
      </c>
      <c r="T171" s="57">
        <f>IF(AG171="7",H171,0)</f>
        <v>0</v>
      </c>
      <c r="U171" s="57">
        <f>IF(AG171="7",I171,0)</f>
        <v>0</v>
      </c>
      <c r="V171" s="57">
        <f>IF(AG171="2",H171,0)</f>
        <v>0</v>
      </c>
      <c r="W171" s="57">
        <f>IF(AG171="2",I171,0)</f>
        <v>0</v>
      </c>
      <c r="X171" s="57">
        <f>IF(AG171="0",J171,0)</f>
        <v>0</v>
      </c>
      <c r="Y171" s="48"/>
      <c r="Z171" s="32">
        <f>IF(AD171=0,J171,0)</f>
        <v>0</v>
      </c>
      <c r="AA171" s="32">
        <f>IF(AD171=15,J171,0)</f>
        <v>0</v>
      </c>
      <c r="AB171" s="32">
        <f>IF(AD171=21,J171,0)</f>
        <v>0</v>
      </c>
      <c r="AD171" s="57">
        <v>21</v>
      </c>
      <c r="AE171" s="57">
        <f>G171*0.0805666957279861</f>
        <v>0</v>
      </c>
      <c r="AF171" s="57">
        <f>G171*(1-0.0805666957279861)</f>
        <v>0</v>
      </c>
      <c r="AG171" s="54" t="s">
        <v>13</v>
      </c>
      <c r="AM171" s="57">
        <f>F171*AE171</f>
        <v>0</v>
      </c>
      <c r="AN171" s="57">
        <f>F171*AF171</f>
        <v>0</v>
      </c>
      <c r="AO171" s="58" t="s">
        <v>580</v>
      </c>
      <c r="AP171" s="58" t="s">
        <v>596</v>
      </c>
      <c r="AQ171" s="48" t="s">
        <v>600</v>
      </c>
      <c r="AS171" s="57">
        <f>AM171+AN171</f>
        <v>0</v>
      </c>
      <c r="AT171" s="57">
        <f>G171/(100-AU171)*100</f>
        <v>0</v>
      </c>
      <c r="AU171" s="57">
        <v>0</v>
      </c>
      <c r="AV171" s="57">
        <f>L171</f>
        <v>0.0168</v>
      </c>
    </row>
    <row r="172" spans="4:6" ht="12.75">
      <c r="D172" s="27" t="s">
        <v>20</v>
      </c>
      <c r="F172" s="33">
        <v>14</v>
      </c>
    </row>
    <row r="173" spans="1:48" ht="12.75">
      <c r="A173" s="12" t="s">
        <v>62</v>
      </c>
      <c r="B173" s="12"/>
      <c r="C173" s="12" t="s">
        <v>179</v>
      </c>
      <c r="D173" s="12" t="s">
        <v>395</v>
      </c>
      <c r="E173" s="12" t="s">
        <v>532</v>
      </c>
      <c r="F173" s="34">
        <v>14</v>
      </c>
      <c r="G173" s="34">
        <v>0</v>
      </c>
      <c r="H173" s="34">
        <f>F173*AE173</f>
        <v>0</v>
      </c>
      <c r="I173" s="34">
        <f>J173-H173</f>
        <v>0</v>
      </c>
      <c r="J173" s="34">
        <f>F173*G173</f>
        <v>0</v>
      </c>
      <c r="K173" s="34">
        <v>0.044</v>
      </c>
      <c r="L173" s="34">
        <f>F173*K173</f>
        <v>0.616</v>
      </c>
      <c r="M173" s="55" t="s">
        <v>557</v>
      </c>
      <c r="P173" s="57">
        <f>IF(AG173="5",J173,0)</f>
        <v>0</v>
      </c>
      <c r="R173" s="57">
        <f>IF(AG173="1",H173,0)</f>
        <v>0</v>
      </c>
      <c r="S173" s="57">
        <f>IF(AG173="1",I173,0)</f>
        <v>0</v>
      </c>
      <c r="T173" s="57">
        <f>IF(AG173="7",H173,0)</f>
        <v>0</v>
      </c>
      <c r="U173" s="57">
        <f>IF(AG173="7",I173,0)</f>
        <v>0</v>
      </c>
      <c r="V173" s="57">
        <f>IF(AG173="2",H173,0)</f>
        <v>0</v>
      </c>
      <c r="W173" s="57">
        <f>IF(AG173="2",I173,0)</f>
        <v>0</v>
      </c>
      <c r="X173" s="57">
        <f>IF(AG173="0",J173,0)</f>
        <v>0</v>
      </c>
      <c r="Y173" s="48"/>
      <c r="Z173" s="34">
        <f>IF(AD173=0,J173,0)</f>
        <v>0</v>
      </c>
      <c r="AA173" s="34">
        <f>IF(AD173=15,J173,0)</f>
        <v>0</v>
      </c>
      <c r="AB173" s="34">
        <f>IF(AD173=21,J173,0)</f>
        <v>0</v>
      </c>
      <c r="AD173" s="57">
        <v>21</v>
      </c>
      <c r="AE173" s="57">
        <f>G173*1</f>
        <v>0</v>
      </c>
      <c r="AF173" s="57">
        <f>G173*(1-1)</f>
        <v>0</v>
      </c>
      <c r="AG173" s="55" t="s">
        <v>13</v>
      </c>
      <c r="AM173" s="57">
        <f>F173*AE173</f>
        <v>0</v>
      </c>
      <c r="AN173" s="57">
        <f>F173*AF173</f>
        <v>0</v>
      </c>
      <c r="AO173" s="58" t="s">
        <v>580</v>
      </c>
      <c r="AP173" s="58" t="s">
        <v>596</v>
      </c>
      <c r="AQ173" s="48" t="s">
        <v>600</v>
      </c>
      <c r="AS173" s="57">
        <f>AM173+AN173</f>
        <v>0</v>
      </c>
      <c r="AT173" s="57">
        <f>G173/(100-AU173)*100</f>
        <v>0</v>
      </c>
      <c r="AU173" s="57">
        <v>0</v>
      </c>
      <c r="AV173" s="57">
        <f>L173</f>
        <v>0.616</v>
      </c>
    </row>
    <row r="174" spans="4:6" ht="12.75">
      <c r="D174" s="27" t="s">
        <v>20</v>
      </c>
      <c r="F174" s="33">
        <v>14</v>
      </c>
    </row>
    <row r="175" spans="1:48" ht="12.75">
      <c r="A175" s="10" t="s">
        <v>63</v>
      </c>
      <c r="B175" s="10"/>
      <c r="C175" s="10" t="s">
        <v>180</v>
      </c>
      <c r="D175" s="10" t="s">
        <v>396</v>
      </c>
      <c r="E175" s="10" t="s">
        <v>532</v>
      </c>
      <c r="F175" s="32">
        <v>4</v>
      </c>
      <c r="G175" s="32">
        <v>0</v>
      </c>
      <c r="H175" s="32">
        <f>F175*AE175</f>
        <v>0</v>
      </c>
      <c r="I175" s="32">
        <f>J175-H175</f>
        <v>0</v>
      </c>
      <c r="J175" s="32">
        <f>F175*G175</f>
        <v>0</v>
      </c>
      <c r="K175" s="32">
        <v>0.0009</v>
      </c>
      <c r="L175" s="32">
        <f>F175*K175</f>
        <v>0.0036</v>
      </c>
      <c r="M175" s="54" t="s">
        <v>557</v>
      </c>
      <c r="P175" s="57">
        <f>IF(AG175="5",J175,0)</f>
        <v>0</v>
      </c>
      <c r="R175" s="57">
        <f>IF(AG175="1",H175,0)</f>
        <v>0</v>
      </c>
      <c r="S175" s="57">
        <f>IF(AG175="1",I175,0)</f>
        <v>0</v>
      </c>
      <c r="T175" s="57">
        <f>IF(AG175="7",H175,0)</f>
        <v>0</v>
      </c>
      <c r="U175" s="57">
        <f>IF(AG175="7",I175,0)</f>
        <v>0</v>
      </c>
      <c r="V175" s="57">
        <f>IF(AG175="2",H175,0)</f>
        <v>0</v>
      </c>
      <c r="W175" s="57">
        <f>IF(AG175="2",I175,0)</f>
        <v>0</v>
      </c>
      <c r="X175" s="57">
        <f>IF(AG175="0",J175,0)</f>
        <v>0</v>
      </c>
      <c r="Y175" s="48"/>
      <c r="Z175" s="32">
        <f>IF(AD175=0,J175,0)</f>
        <v>0</v>
      </c>
      <c r="AA175" s="32">
        <f>IF(AD175=15,J175,0)</f>
        <v>0</v>
      </c>
      <c r="AB175" s="32">
        <f>IF(AD175=21,J175,0)</f>
        <v>0</v>
      </c>
      <c r="AD175" s="57">
        <v>21</v>
      </c>
      <c r="AE175" s="57">
        <f>G175*0.0735467944225358</f>
        <v>0</v>
      </c>
      <c r="AF175" s="57">
        <f>G175*(1-0.0735467944225358)</f>
        <v>0</v>
      </c>
      <c r="AG175" s="54" t="s">
        <v>13</v>
      </c>
      <c r="AM175" s="57">
        <f>F175*AE175</f>
        <v>0</v>
      </c>
      <c r="AN175" s="57">
        <f>F175*AF175</f>
        <v>0</v>
      </c>
      <c r="AO175" s="58" t="s">
        <v>580</v>
      </c>
      <c r="AP175" s="58" t="s">
        <v>596</v>
      </c>
      <c r="AQ175" s="48" t="s">
        <v>600</v>
      </c>
      <c r="AS175" s="57">
        <f>AM175+AN175</f>
        <v>0</v>
      </c>
      <c r="AT175" s="57">
        <f>G175/(100-AU175)*100</f>
        <v>0</v>
      </c>
      <c r="AU175" s="57">
        <v>0</v>
      </c>
      <c r="AV175" s="57">
        <f>L175</f>
        <v>0.0036</v>
      </c>
    </row>
    <row r="176" spans="4:6" ht="12.75">
      <c r="D176" s="27" t="s">
        <v>10</v>
      </c>
      <c r="F176" s="33">
        <v>4</v>
      </c>
    </row>
    <row r="177" spans="1:48" ht="12.75">
      <c r="A177" s="12" t="s">
        <v>64</v>
      </c>
      <c r="B177" s="12"/>
      <c r="C177" s="12" t="s">
        <v>181</v>
      </c>
      <c r="D177" s="12" t="s">
        <v>397</v>
      </c>
      <c r="E177" s="12" t="s">
        <v>532</v>
      </c>
      <c r="F177" s="34">
        <v>1</v>
      </c>
      <c r="G177" s="34">
        <v>0</v>
      </c>
      <c r="H177" s="34">
        <f>F177*AE177</f>
        <v>0</v>
      </c>
      <c r="I177" s="34">
        <f>J177-H177</f>
        <v>0</v>
      </c>
      <c r="J177" s="34">
        <f>F177*G177</f>
        <v>0</v>
      </c>
      <c r="K177" s="34">
        <v>0.028</v>
      </c>
      <c r="L177" s="34">
        <f>F177*K177</f>
        <v>0.028</v>
      </c>
      <c r="M177" s="55" t="s">
        <v>557</v>
      </c>
      <c r="P177" s="57">
        <f>IF(AG177="5",J177,0)</f>
        <v>0</v>
      </c>
      <c r="R177" s="57">
        <f>IF(AG177="1",H177,0)</f>
        <v>0</v>
      </c>
      <c r="S177" s="57">
        <f>IF(AG177="1",I177,0)</f>
        <v>0</v>
      </c>
      <c r="T177" s="57">
        <f>IF(AG177="7",H177,0)</f>
        <v>0</v>
      </c>
      <c r="U177" s="57">
        <f>IF(AG177="7",I177,0)</f>
        <v>0</v>
      </c>
      <c r="V177" s="57">
        <f>IF(AG177="2",H177,0)</f>
        <v>0</v>
      </c>
      <c r="W177" s="57">
        <f>IF(AG177="2",I177,0)</f>
        <v>0</v>
      </c>
      <c r="X177" s="57">
        <f>IF(AG177="0",J177,0)</f>
        <v>0</v>
      </c>
      <c r="Y177" s="48"/>
      <c r="Z177" s="34">
        <f>IF(AD177=0,J177,0)</f>
        <v>0</v>
      </c>
      <c r="AA177" s="34">
        <f>IF(AD177=15,J177,0)</f>
        <v>0</v>
      </c>
      <c r="AB177" s="34">
        <f>IF(AD177=21,J177,0)</f>
        <v>0</v>
      </c>
      <c r="AD177" s="57">
        <v>21</v>
      </c>
      <c r="AE177" s="57">
        <f>G177*1</f>
        <v>0</v>
      </c>
      <c r="AF177" s="57">
        <f>G177*(1-1)</f>
        <v>0</v>
      </c>
      <c r="AG177" s="55" t="s">
        <v>13</v>
      </c>
      <c r="AM177" s="57">
        <f>F177*AE177</f>
        <v>0</v>
      </c>
      <c r="AN177" s="57">
        <f>F177*AF177</f>
        <v>0</v>
      </c>
      <c r="AO177" s="58" t="s">
        <v>580</v>
      </c>
      <c r="AP177" s="58" t="s">
        <v>596</v>
      </c>
      <c r="AQ177" s="48" t="s">
        <v>600</v>
      </c>
      <c r="AS177" s="57">
        <f>AM177+AN177</f>
        <v>0</v>
      </c>
      <c r="AT177" s="57">
        <f>G177/(100-AU177)*100</f>
        <v>0</v>
      </c>
      <c r="AU177" s="57">
        <v>0</v>
      </c>
      <c r="AV177" s="57">
        <f>L177</f>
        <v>0.028</v>
      </c>
    </row>
    <row r="178" spans="4:6" ht="12.75">
      <c r="D178" s="27" t="s">
        <v>398</v>
      </c>
      <c r="F178" s="33">
        <v>1</v>
      </c>
    </row>
    <row r="179" spans="1:48" ht="12.75">
      <c r="A179" s="12" t="s">
        <v>65</v>
      </c>
      <c r="B179" s="12"/>
      <c r="C179" s="12" t="s">
        <v>182</v>
      </c>
      <c r="D179" s="12" t="s">
        <v>399</v>
      </c>
      <c r="E179" s="12" t="s">
        <v>532</v>
      </c>
      <c r="F179" s="34">
        <v>1</v>
      </c>
      <c r="G179" s="34">
        <v>0</v>
      </c>
      <c r="H179" s="34">
        <f>F179*AE179</f>
        <v>0</v>
      </c>
      <c r="I179" s="34">
        <f>J179-H179</f>
        <v>0</v>
      </c>
      <c r="J179" s="34">
        <f>F179*G179</f>
        <v>0</v>
      </c>
      <c r="K179" s="34">
        <v>0.04</v>
      </c>
      <c r="L179" s="34">
        <f>F179*K179</f>
        <v>0.04</v>
      </c>
      <c r="M179" s="55" t="s">
        <v>557</v>
      </c>
      <c r="P179" s="57">
        <f>IF(AG179="5",J179,0)</f>
        <v>0</v>
      </c>
      <c r="R179" s="57">
        <f>IF(AG179="1",H179,0)</f>
        <v>0</v>
      </c>
      <c r="S179" s="57">
        <f>IF(AG179="1",I179,0)</f>
        <v>0</v>
      </c>
      <c r="T179" s="57">
        <f>IF(AG179="7",H179,0)</f>
        <v>0</v>
      </c>
      <c r="U179" s="57">
        <f>IF(AG179="7",I179,0)</f>
        <v>0</v>
      </c>
      <c r="V179" s="57">
        <f>IF(AG179="2",H179,0)</f>
        <v>0</v>
      </c>
      <c r="W179" s="57">
        <f>IF(AG179="2",I179,0)</f>
        <v>0</v>
      </c>
      <c r="X179" s="57">
        <f>IF(AG179="0",J179,0)</f>
        <v>0</v>
      </c>
      <c r="Y179" s="48"/>
      <c r="Z179" s="34">
        <f>IF(AD179=0,J179,0)</f>
        <v>0</v>
      </c>
      <c r="AA179" s="34">
        <f>IF(AD179=15,J179,0)</f>
        <v>0</v>
      </c>
      <c r="AB179" s="34">
        <f>IF(AD179=21,J179,0)</f>
        <v>0</v>
      </c>
      <c r="AD179" s="57">
        <v>21</v>
      </c>
      <c r="AE179" s="57">
        <f>G179*1</f>
        <v>0</v>
      </c>
      <c r="AF179" s="57">
        <f>G179*(1-1)</f>
        <v>0</v>
      </c>
      <c r="AG179" s="55" t="s">
        <v>13</v>
      </c>
      <c r="AM179" s="57">
        <f>F179*AE179</f>
        <v>0</v>
      </c>
      <c r="AN179" s="57">
        <f>F179*AF179</f>
        <v>0</v>
      </c>
      <c r="AO179" s="58" t="s">
        <v>580</v>
      </c>
      <c r="AP179" s="58" t="s">
        <v>596</v>
      </c>
      <c r="AQ179" s="48" t="s">
        <v>600</v>
      </c>
      <c r="AS179" s="57">
        <f>AM179+AN179</f>
        <v>0</v>
      </c>
      <c r="AT179" s="57">
        <f>G179/(100-AU179)*100</f>
        <v>0</v>
      </c>
      <c r="AU179" s="57">
        <v>0</v>
      </c>
      <c r="AV179" s="57">
        <f>L179</f>
        <v>0.04</v>
      </c>
    </row>
    <row r="180" spans="4:6" ht="12.75">
      <c r="D180" s="27" t="s">
        <v>398</v>
      </c>
      <c r="F180" s="33">
        <v>1</v>
      </c>
    </row>
    <row r="181" spans="1:48" ht="12.75">
      <c r="A181" s="12" t="s">
        <v>66</v>
      </c>
      <c r="B181" s="12"/>
      <c r="C181" s="12" t="s">
        <v>183</v>
      </c>
      <c r="D181" s="12" t="s">
        <v>400</v>
      </c>
      <c r="E181" s="12" t="s">
        <v>532</v>
      </c>
      <c r="F181" s="34">
        <v>1</v>
      </c>
      <c r="G181" s="34">
        <v>0</v>
      </c>
      <c r="H181" s="34">
        <f>F181*AE181</f>
        <v>0</v>
      </c>
      <c r="I181" s="34">
        <f>J181-H181</f>
        <v>0</v>
      </c>
      <c r="J181" s="34">
        <f>F181*G181</f>
        <v>0</v>
      </c>
      <c r="K181" s="34">
        <v>0.044</v>
      </c>
      <c r="L181" s="34">
        <f>F181*K181</f>
        <v>0.044</v>
      </c>
      <c r="M181" s="55" t="s">
        <v>557</v>
      </c>
      <c r="P181" s="57">
        <f>IF(AG181="5",J181,0)</f>
        <v>0</v>
      </c>
      <c r="R181" s="57">
        <f>IF(AG181="1",H181,0)</f>
        <v>0</v>
      </c>
      <c r="S181" s="57">
        <f>IF(AG181="1",I181,0)</f>
        <v>0</v>
      </c>
      <c r="T181" s="57">
        <f>IF(AG181="7",H181,0)</f>
        <v>0</v>
      </c>
      <c r="U181" s="57">
        <f>IF(AG181="7",I181,0)</f>
        <v>0</v>
      </c>
      <c r="V181" s="57">
        <f>IF(AG181="2",H181,0)</f>
        <v>0</v>
      </c>
      <c r="W181" s="57">
        <f>IF(AG181="2",I181,0)</f>
        <v>0</v>
      </c>
      <c r="X181" s="57">
        <f>IF(AG181="0",J181,0)</f>
        <v>0</v>
      </c>
      <c r="Y181" s="48"/>
      <c r="Z181" s="34">
        <f>IF(AD181=0,J181,0)</f>
        <v>0</v>
      </c>
      <c r="AA181" s="34">
        <f>IF(AD181=15,J181,0)</f>
        <v>0</v>
      </c>
      <c r="AB181" s="34">
        <f>IF(AD181=21,J181,0)</f>
        <v>0</v>
      </c>
      <c r="AD181" s="57">
        <v>21</v>
      </c>
      <c r="AE181" s="57">
        <f>G181*1</f>
        <v>0</v>
      </c>
      <c r="AF181" s="57">
        <f>G181*(1-1)</f>
        <v>0</v>
      </c>
      <c r="AG181" s="55" t="s">
        <v>13</v>
      </c>
      <c r="AM181" s="57">
        <f>F181*AE181</f>
        <v>0</v>
      </c>
      <c r="AN181" s="57">
        <f>F181*AF181</f>
        <v>0</v>
      </c>
      <c r="AO181" s="58" t="s">
        <v>580</v>
      </c>
      <c r="AP181" s="58" t="s">
        <v>596</v>
      </c>
      <c r="AQ181" s="48" t="s">
        <v>600</v>
      </c>
      <c r="AS181" s="57">
        <f>AM181+AN181</f>
        <v>0</v>
      </c>
      <c r="AT181" s="57">
        <f>G181/(100-AU181)*100</f>
        <v>0</v>
      </c>
      <c r="AU181" s="57">
        <v>0</v>
      </c>
      <c r="AV181" s="57">
        <f>L181</f>
        <v>0.044</v>
      </c>
    </row>
    <row r="182" spans="4:6" ht="12.75">
      <c r="D182" s="27" t="s">
        <v>398</v>
      </c>
      <c r="F182" s="33">
        <v>1</v>
      </c>
    </row>
    <row r="183" spans="1:48" ht="12.75">
      <c r="A183" s="12" t="s">
        <v>67</v>
      </c>
      <c r="B183" s="12"/>
      <c r="C183" s="12" t="s">
        <v>184</v>
      </c>
      <c r="D183" s="12" t="s">
        <v>401</v>
      </c>
      <c r="E183" s="12" t="s">
        <v>532</v>
      </c>
      <c r="F183" s="34">
        <v>1</v>
      </c>
      <c r="G183" s="34">
        <v>0</v>
      </c>
      <c r="H183" s="34">
        <f>F183*AE183</f>
        <v>0</v>
      </c>
      <c r="I183" s="34">
        <f>J183-H183</f>
        <v>0</v>
      </c>
      <c r="J183" s="34">
        <f>F183*G183</f>
        <v>0</v>
      </c>
      <c r="K183" s="34">
        <v>0.036</v>
      </c>
      <c r="L183" s="34">
        <f>F183*K183</f>
        <v>0.036</v>
      </c>
      <c r="M183" s="55" t="s">
        <v>557</v>
      </c>
      <c r="P183" s="57">
        <f>IF(AG183="5",J183,0)</f>
        <v>0</v>
      </c>
      <c r="R183" s="57">
        <f>IF(AG183="1",H183,0)</f>
        <v>0</v>
      </c>
      <c r="S183" s="57">
        <f>IF(AG183="1",I183,0)</f>
        <v>0</v>
      </c>
      <c r="T183" s="57">
        <f>IF(AG183="7",H183,0)</f>
        <v>0</v>
      </c>
      <c r="U183" s="57">
        <f>IF(AG183="7",I183,0)</f>
        <v>0</v>
      </c>
      <c r="V183" s="57">
        <f>IF(AG183="2",H183,0)</f>
        <v>0</v>
      </c>
      <c r="W183" s="57">
        <f>IF(AG183="2",I183,0)</f>
        <v>0</v>
      </c>
      <c r="X183" s="57">
        <f>IF(AG183="0",J183,0)</f>
        <v>0</v>
      </c>
      <c r="Y183" s="48"/>
      <c r="Z183" s="34">
        <f>IF(AD183=0,J183,0)</f>
        <v>0</v>
      </c>
      <c r="AA183" s="34">
        <f>IF(AD183=15,J183,0)</f>
        <v>0</v>
      </c>
      <c r="AB183" s="34">
        <f>IF(AD183=21,J183,0)</f>
        <v>0</v>
      </c>
      <c r="AD183" s="57">
        <v>21</v>
      </c>
      <c r="AE183" s="57">
        <f>G183*1</f>
        <v>0</v>
      </c>
      <c r="AF183" s="57">
        <f>G183*(1-1)</f>
        <v>0</v>
      </c>
      <c r="AG183" s="55" t="s">
        <v>13</v>
      </c>
      <c r="AM183" s="57">
        <f>F183*AE183</f>
        <v>0</v>
      </c>
      <c r="AN183" s="57">
        <f>F183*AF183</f>
        <v>0</v>
      </c>
      <c r="AO183" s="58" t="s">
        <v>580</v>
      </c>
      <c r="AP183" s="58" t="s">
        <v>596</v>
      </c>
      <c r="AQ183" s="48" t="s">
        <v>600</v>
      </c>
      <c r="AS183" s="57">
        <f>AM183+AN183</f>
        <v>0</v>
      </c>
      <c r="AT183" s="57">
        <f>G183/(100-AU183)*100</f>
        <v>0</v>
      </c>
      <c r="AU183" s="57">
        <v>0</v>
      </c>
      <c r="AV183" s="57">
        <f>L183</f>
        <v>0.036</v>
      </c>
    </row>
    <row r="184" spans="4:6" ht="12.75">
      <c r="D184" s="27" t="s">
        <v>398</v>
      </c>
      <c r="F184" s="33">
        <v>1</v>
      </c>
    </row>
    <row r="185" spans="1:48" ht="12.75">
      <c r="A185" s="10" t="s">
        <v>68</v>
      </c>
      <c r="B185" s="10"/>
      <c r="C185" s="10" t="s">
        <v>185</v>
      </c>
      <c r="D185" s="10" t="s">
        <v>402</v>
      </c>
      <c r="E185" s="10" t="s">
        <v>532</v>
      </c>
      <c r="F185" s="32">
        <v>23</v>
      </c>
      <c r="G185" s="32">
        <v>0</v>
      </c>
      <c r="H185" s="32">
        <f>F185*AE185</f>
        <v>0</v>
      </c>
      <c r="I185" s="32">
        <f>J185-H185</f>
        <v>0</v>
      </c>
      <c r="J185" s="32">
        <f>F185*G185</f>
        <v>0</v>
      </c>
      <c r="K185" s="32">
        <v>0.00431</v>
      </c>
      <c r="L185" s="32">
        <f>F185*K185</f>
        <v>0.09913</v>
      </c>
      <c r="M185" s="54" t="s">
        <v>557</v>
      </c>
      <c r="P185" s="57">
        <f>IF(AG185="5",J185,0)</f>
        <v>0</v>
      </c>
      <c r="R185" s="57">
        <f>IF(AG185="1",H185,0)</f>
        <v>0</v>
      </c>
      <c r="S185" s="57">
        <f>IF(AG185="1",I185,0)</f>
        <v>0</v>
      </c>
      <c r="T185" s="57">
        <f>IF(AG185="7",H185,0)</f>
        <v>0</v>
      </c>
      <c r="U185" s="57">
        <f>IF(AG185="7",I185,0)</f>
        <v>0</v>
      </c>
      <c r="V185" s="57">
        <f>IF(AG185="2",H185,0)</f>
        <v>0</v>
      </c>
      <c r="W185" s="57">
        <f>IF(AG185="2",I185,0)</f>
        <v>0</v>
      </c>
      <c r="X185" s="57">
        <f>IF(AG185="0",J185,0)</f>
        <v>0</v>
      </c>
      <c r="Y185" s="48"/>
      <c r="Z185" s="32">
        <f>IF(AD185=0,J185,0)</f>
        <v>0</v>
      </c>
      <c r="AA185" s="32">
        <f>IF(AD185=15,J185,0)</f>
        <v>0</v>
      </c>
      <c r="AB185" s="32">
        <f>IF(AD185=21,J185,0)</f>
        <v>0</v>
      </c>
      <c r="AD185" s="57">
        <v>21</v>
      </c>
      <c r="AE185" s="57">
        <f>G185*0.264794117647059</f>
        <v>0</v>
      </c>
      <c r="AF185" s="57">
        <f>G185*(1-0.264794117647059)</f>
        <v>0</v>
      </c>
      <c r="AG185" s="54" t="s">
        <v>13</v>
      </c>
      <c r="AM185" s="57">
        <f>F185*AE185</f>
        <v>0</v>
      </c>
      <c r="AN185" s="57">
        <f>F185*AF185</f>
        <v>0</v>
      </c>
      <c r="AO185" s="58" t="s">
        <v>580</v>
      </c>
      <c r="AP185" s="58" t="s">
        <v>596</v>
      </c>
      <c r="AQ185" s="48" t="s">
        <v>600</v>
      </c>
      <c r="AS185" s="57">
        <f>AM185+AN185</f>
        <v>0</v>
      </c>
      <c r="AT185" s="57">
        <f>G185/(100-AU185)*100</f>
        <v>0</v>
      </c>
      <c r="AU185" s="57">
        <v>0</v>
      </c>
      <c r="AV185" s="57">
        <f>L185</f>
        <v>0.09913</v>
      </c>
    </row>
    <row r="186" spans="4:6" ht="12.75">
      <c r="D186" s="27" t="s">
        <v>29</v>
      </c>
      <c r="F186" s="33">
        <v>23</v>
      </c>
    </row>
    <row r="187" spans="1:48" ht="12.75">
      <c r="A187" s="12" t="s">
        <v>69</v>
      </c>
      <c r="B187" s="12"/>
      <c r="C187" s="12" t="s">
        <v>186</v>
      </c>
      <c r="D187" s="12" t="s">
        <v>403</v>
      </c>
      <c r="E187" s="12" t="s">
        <v>532</v>
      </c>
      <c r="F187" s="34">
        <v>23</v>
      </c>
      <c r="G187" s="34">
        <v>0</v>
      </c>
      <c r="H187" s="34">
        <f>F187*AE187</f>
        <v>0</v>
      </c>
      <c r="I187" s="34">
        <f>J187-H187</f>
        <v>0</v>
      </c>
      <c r="J187" s="34">
        <f>F187*G187</f>
        <v>0</v>
      </c>
      <c r="K187" s="34">
        <v>0.018</v>
      </c>
      <c r="L187" s="34">
        <f>F187*K187</f>
        <v>0.414</v>
      </c>
      <c r="M187" s="55" t="s">
        <v>557</v>
      </c>
      <c r="P187" s="57">
        <f>IF(AG187="5",J187,0)</f>
        <v>0</v>
      </c>
      <c r="R187" s="57">
        <f>IF(AG187="1",H187,0)</f>
        <v>0</v>
      </c>
      <c r="S187" s="57">
        <f>IF(AG187="1",I187,0)</f>
        <v>0</v>
      </c>
      <c r="T187" s="57">
        <f>IF(AG187="7",H187,0)</f>
        <v>0</v>
      </c>
      <c r="U187" s="57">
        <f>IF(AG187="7",I187,0)</f>
        <v>0</v>
      </c>
      <c r="V187" s="57">
        <f>IF(AG187="2",H187,0)</f>
        <v>0</v>
      </c>
      <c r="W187" s="57">
        <f>IF(AG187="2",I187,0)</f>
        <v>0</v>
      </c>
      <c r="X187" s="57">
        <f>IF(AG187="0",J187,0)</f>
        <v>0</v>
      </c>
      <c r="Y187" s="48"/>
      <c r="Z187" s="34">
        <f>IF(AD187=0,J187,0)</f>
        <v>0</v>
      </c>
      <c r="AA187" s="34">
        <f>IF(AD187=15,J187,0)</f>
        <v>0</v>
      </c>
      <c r="AB187" s="34">
        <f>IF(AD187=21,J187,0)</f>
        <v>0</v>
      </c>
      <c r="AD187" s="57">
        <v>21</v>
      </c>
      <c r="AE187" s="57">
        <f>G187*1</f>
        <v>0</v>
      </c>
      <c r="AF187" s="57">
        <f>G187*(1-1)</f>
        <v>0</v>
      </c>
      <c r="AG187" s="55" t="s">
        <v>13</v>
      </c>
      <c r="AM187" s="57">
        <f>F187*AE187</f>
        <v>0</v>
      </c>
      <c r="AN187" s="57">
        <f>F187*AF187</f>
        <v>0</v>
      </c>
      <c r="AO187" s="58" t="s">
        <v>580</v>
      </c>
      <c r="AP187" s="58" t="s">
        <v>596</v>
      </c>
      <c r="AQ187" s="48" t="s">
        <v>600</v>
      </c>
      <c r="AS187" s="57">
        <f>AM187+AN187</f>
        <v>0</v>
      </c>
      <c r="AT187" s="57">
        <f>G187/(100-AU187)*100</f>
        <v>0</v>
      </c>
      <c r="AU187" s="57">
        <v>0</v>
      </c>
      <c r="AV187" s="57">
        <f>L187</f>
        <v>0.414</v>
      </c>
    </row>
    <row r="188" spans="4:6" ht="12.75">
      <c r="D188" s="27" t="s">
        <v>404</v>
      </c>
      <c r="F188" s="33">
        <v>23</v>
      </c>
    </row>
    <row r="189" spans="1:48" ht="12.75">
      <c r="A189" s="10" t="s">
        <v>70</v>
      </c>
      <c r="B189" s="10"/>
      <c r="C189" s="10" t="s">
        <v>187</v>
      </c>
      <c r="D189" s="10" t="s">
        <v>405</v>
      </c>
      <c r="E189" s="10" t="s">
        <v>532</v>
      </c>
      <c r="F189" s="32">
        <v>11</v>
      </c>
      <c r="G189" s="32">
        <v>0</v>
      </c>
      <c r="H189" s="32">
        <f>F189*AE189</f>
        <v>0</v>
      </c>
      <c r="I189" s="32">
        <f>J189-H189</f>
        <v>0</v>
      </c>
      <c r="J189" s="32">
        <f>F189*G189</f>
        <v>0</v>
      </c>
      <c r="K189" s="32">
        <v>2E-05</v>
      </c>
      <c r="L189" s="32">
        <f>F189*K189</f>
        <v>0.00022</v>
      </c>
      <c r="M189" s="54" t="s">
        <v>557</v>
      </c>
      <c r="P189" s="57">
        <f>IF(AG189="5",J189,0)</f>
        <v>0</v>
      </c>
      <c r="R189" s="57">
        <f>IF(AG189="1",H189,0)</f>
        <v>0</v>
      </c>
      <c r="S189" s="57">
        <f>IF(AG189="1",I189,0)</f>
        <v>0</v>
      </c>
      <c r="T189" s="57">
        <f>IF(AG189="7",H189,0)</f>
        <v>0</v>
      </c>
      <c r="U189" s="57">
        <f>IF(AG189="7",I189,0)</f>
        <v>0</v>
      </c>
      <c r="V189" s="57">
        <f>IF(AG189="2",H189,0)</f>
        <v>0</v>
      </c>
      <c r="W189" s="57">
        <f>IF(AG189="2",I189,0)</f>
        <v>0</v>
      </c>
      <c r="X189" s="57">
        <f>IF(AG189="0",J189,0)</f>
        <v>0</v>
      </c>
      <c r="Y189" s="48"/>
      <c r="Z189" s="32">
        <f>IF(AD189=0,J189,0)</f>
        <v>0</v>
      </c>
      <c r="AA189" s="32">
        <f>IF(AD189=15,J189,0)</f>
        <v>0</v>
      </c>
      <c r="AB189" s="32">
        <f>IF(AD189=21,J189,0)</f>
        <v>0</v>
      </c>
      <c r="AD189" s="57">
        <v>21</v>
      </c>
      <c r="AE189" s="57">
        <f>G189*0.0384620253164557</f>
        <v>0</v>
      </c>
      <c r="AF189" s="57">
        <f>G189*(1-0.0384620253164557)</f>
        <v>0</v>
      </c>
      <c r="AG189" s="54" t="s">
        <v>13</v>
      </c>
      <c r="AM189" s="57">
        <f>F189*AE189</f>
        <v>0</v>
      </c>
      <c r="AN189" s="57">
        <f>F189*AF189</f>
        <v>0</v>
      </c>
      <c r="AO189" s="58" t="s">
        <v>580</v>
      </c>
      <c r="AP189" s="58" t="s">
        <v>596</v>
      </c>
      <c r="AQ189" s="48" t="s">
        <v>600</v>
      </c>
      <c r="AS189" s="57">
        <f>AM189+AN189</f>
        <v>0</v>
      </c>
      <c r="AT189" s="57">
        <f>G189/(100-AU189)*100</f>
        <v>0</v>
      </c>
      <c r="AU189" s="57">
        <v>0</v>
      </c>
      <c r="AV189" s="57">
        <f>L189</f>
        <v>0.00022</v>
      </c>
    </row>
    <row r="190" spans="4:6" ht="12.75">
      <c r="D190" s="27" t="s">
        <v>17</v>
      </c>
      <c r="F190" s="33">
        <v>11</v>
      </c>
    </row>
    <row r="191" spans="1:48" ht="12.75">
      <c r="A191" s="12" t="s">
        <v>71</v>
      </c>
      <c r="B191" s="12"/>
      <c r="C191" s="12" t="s">
        <v>188</v>
      </c>
      <c r="D191" s="12" t="s">
        <v>406</v>
      </c>
      <c r="E191" s="12" t="s">
        <v>532</v>
      </c>
      <c r="F191" s="34">
        <v>11</v>
      </c>
      <c r="G191" s="34">
        <v>0</v>
      </c>
      <c r="H191" s="34">
        <f>F191*AE191</f>
        <v>0</v>
      </c>
      <c r="I191" s="34">
        <f>J191-H191</f>
        <v>0</v>
      </c>
      <c r="J191" s="34">
        <f>F191*G191</f>
        <v>0</v>
      </c>
      <c r="K191" s="34">
        <v>0.016</v>
      </c>
      <c r="L191" s="34">
        <f>F191*K191</f>
        <v>0.176</v>
      </c>
      <c r="M191" s="55" t="s">
        <v>557</v>
      </c>
      <c r="P191" s="57">
        <f>IF(AG191="5",J191,0)</f>
        <v>0</v>
      </c>
      <c r="R191" s="57">
        <f>IF(AG191="1",H191,0)</f>
        <v>0</v>
      </c>
      <c r="S191" s="57">
        <f>IF(AG191="1",I191,0)</f>
        <v>0</v>
      </c>
      <c r="T191" s="57">
        <f>IF(AG191="7",H191,0)</f>
        <v>0</v>
      </c>
      <c r="U191" s="57">
        <f>IF(AG191="7",I191,0)</f>
        <v>0</v>
      </c>
      <c r="V191" s="57">
        <f>IF(AG191="2",H191,0)</f>
        <v>0</v>
      </c>
      <c r="W191" s="57">
        <f>IF(AG191="2",I191,0)</f>
        <v>0</v>
      </c>
      <c r="X191" s="57">
        <f>IF(AG191="0",J191,0)</f>
        <v>0</v>
      </c>
      <c r="Y191" s="48"/>
      <c r="Z191" s="34">
        <f>IF(AD191=0,J191,0)</f>
        <v>0</v>
      </c>
      <c r="AA191" s="34">
        <f>IF(AD191=15,J191,0)</f>
        <v>0</v>
      </c>
      <c r="AB191" s="34">
        <f>IF(AD191=21,J191,0)</f>
        <v>0</v>
      </c>
      <c r="AD191" s="57">
        <v>21</v>
      </c>
      <c r="AE191" s="57">
        <f>G191*1</f>
        <v>0</v>
      </c>
      <c r="AF191" s="57">
        <f>G191*(1-1)</f>
        <v>0</v>
      </c>
      <c r="AG191" s="55" t="s">
        <v>13</v>
      </c>
      <c r="AM191" s="57">
        <f>F191*AE191</f>
        <v>0</v>
      </c>
      <c r="AN191" s="57">
        <f>F191*AF191</f>
        <v>0</v>
      </c>
      <c r="AO191" s="58" t="s">
        <v>580</v>
      </c>
      <c r="AP191" s="58" t="s">
        <v>596</v>
      </c>
      <c r="AQ191" s="48" t="s">
        <v>600</v>
      </c>
      <c r="AS191" s="57">
        <f>AM191+AN191</f>
        <v>0</v>
      </c>
      <c r="AT191" s="57">
        <f>G191/(100-AU191)*100</f>
        <v>0</v>
      </c>
      <c r="AU191" s="57">
        <v>0</v>
      </c>
      <c r="AV191" s="57">
        <f>L191</f>
        <v>0.176</v>
      </c>
    </row>
    <row r="192" spans="4:6" ht="12.75">
      <c r="D192" s="27" t="s">
        <v>407</v>
      </c>
      <c r="F192" s="33">
        <v>11</v>
      </c>
    </row>
    <row r="193" spans="1:48" ht="12.75">
      <c r="A193" s="12" t="s">
        <v>72</v>
      </c>
      <c r="B193" s="12"/>
      <c r="C193" s="12" t="s">
        <v>189</v>
      </c>
      <c r="D193" s="12" t="s">
        <v>408</v>
      </c>
      <c r="E193" s="12" t="s">
        <v>532</v>
      </c>
      <c r="F193" s="34">
        <v>11</v>
      </c>
      <c r="G193" s="34">
        <v>0</v>
      </c>
      <c r="H193" s="34">
        <f>F193*AE193</f>
        <v>0</v>
      </c>
      <c r="I193" s="34">
        <f>J193-H193</f>
        <v>0</v>
      </c>
      <c r="J193" s="34">
        <f>F193*G193</f>
        <v>0</v>
      </c>
      <c r="K193" s="34">
        <v>0.037</v>
      </c>
      <c r="L193" s="34">
        <f>F193*K193</f>
        <v>0.407</v>
      </c>
      <c r="M193" s="55" t="s">
        <v>557</v>
      </c>
      <c r="P193" s="57">
        <f>IF(AG193="5",J193,0)</f>
        <v>0</v>
      </c>
      <c r="R193" s="57">
        <f>IF(AG193="1",H193,0)</f>
        <v>0</v>
      </c>
      <c r="S193" s="57">
        <f>IF(AG193="1",I193,0)</f>
        <v>0</v>
      </c>
      <c r="T193" s="57">
        <f>IF(AG193="7",H193,0)</f>
        <v>0</v>
      </c>
      <c r="U193" s="57">
        <f>IF(AG193="7",I193,0)</f>
        <v>0</v>
      </c>
      <c r="V193" s="57">
        <f>IF(AG193="2",H193,0)</f>
        <v>0</v>
      </c>
      <c r="W193" s="57">
        <f>IF(AG193="2",I193,0)</f>
        <v>0</v>
      </c>
      <c r="X193" s="57">
        <f>IF(AG193="0",J193,0)</f>
        <v>0</v>
      </c>
      <c r="Y193" s="48"/>
      <c r="Z193" s="34">
        <f>IF(AD193=0,J193,0)</f>
        <v>0</v>
      </c>
      <c r="AA193" s="34">
        <f>IF(AD193=15,J193,0)</f>
        <v>0</v>
      </c>
      <c r="AB193" s="34">
        <f>IF(AD193=21,J193,0)</f>
        <v>0</v>
      </c>
      <c r="AD193" s="57">
        <v>21</v>
      </c>
      <c r="AE193" s="57">
        <f>G193*1</f>
        <v>0</v>
      </c>
      <c r="AF193" s="57">
        <f>G193*(1-1)</f>
        <v>0</v>
      </c>
      <c r="AG193" s="55" t="s">
        <v>13</v>
      </c>
      <c r="AM193" s="57">
        <f>F193*AE193</f>
        <v>0</v>
      </c>
      <c r="AN193" s="57">
        <f>F193*AF193</f>
        <v>0</v>
      </c>
      <c r="AO193" s="58" t="s">
        <v>580</v>
      </c>
      <c r="AP193" s="58" t="s">
        <v>596</v>
      </c>
      <c r="AQ193" s="48" t="s">
        <v>600</v>
      </c>
      <c r="AS193" s="57">
        <f>AM193+AN193</f>
        <v>0</v>
      </c>
      <c r="AT193" s="57">
        <f>G193/(100-AU193)*100</f>
        <v>0</v>
      </c>
      <c r="AU193" s="57">
        <v>0</v>
      </c>
      <c r="AV193" s="57">
        <f>L193</f>
        <v>0.407</v>
      </c>
    </row>
    <row r="194" spans="4:6" ht="12.75">
      <c r="D194" s="27" t="s">
        <v>407</v>
      </c>
      <c r="F194" s="33">
        <v>11</v>
      </c>
    </row>
    <row r="195" spans="1:48" ht="12.75">
      <c r="A195" s="10" t="s">
        <v>73</v>
      </c>
      <c r="B195" s="10"/>
      <c r="C195" s="10" t="s">
        <v>190</v>
      </c>
      <c r="D195" s="10" t="s">
        <v>409</v>
      </c>
      <c r="E195" s="10" t="s">
        <v>532</v>
      </c>
      <c r="F195" s="32">
        <v>3</v>
      </c>
      <c r="G195" s="32">
        <v>0</v>
      </c>
      <c r="H195" s="32">
        <f>F195*AE195</f>
        <v>0</v>
      </c>
      <c r="I195" s="32">
        <f>J195-H195</f>
        <v>0</v>
      </c>
      <c r="J195" s="32">
        <f>F195*G195</f>
        <v>0</v>
      </c>
      <c r="K195" s="32">
        <v>0.49075</v>
      </c>
      <c r="L195" s="32">
        <f>F195*K195</f>
        <v>1.47225</v>
      </c>
      <c r="M195" s="54" t="s">
        <v>557</v>
      </c>
      <c r="P195" s="57">
        <f>IF(AG195="5",J195,0)</f>
        <v>0</v>
      </c>
      <c r="R195" s="57">
        <f>IF(AG195="1",H195,0)</f>
        <v>0</v>
      </c>
      <c r="S195" s="57">
        <f>IF(AG195="1",I195,0)</f>
        <v>0</v>
      </c>
      <c r="T195" s="57">
        <f>IF(AG195="7",H195,0)</f>
        <v>0</v>
      </c>
      <c r="U195" s="57">
        <f>IF(AG195="7",I195,0)</f>
        <v>0</v>
      </c>
      <c r="V195" s="57">
        <f>IF(AG195="2",H195,0)</f>
        <v>0</v>
      </c>
      <c r="W195" s="57">
        <f>IF(AG195="2",I195,0)</f>
        <v>0</v>
      </c>
      <c r="X195" s="57">
        <f>IF(AG195="0",J195,0)</f>
        <v>0</v>
      </c>
      <c r="Y195" s="48"/>
      <c r="Z195" s="32">
        <f>IF(AD195=0,J195,0)</f>
        <v>0</v>
      </c>
      <c r="AA195" s="32">
        <f>IF(AD195=15,J195,0)</f>
        <v>0</v>
      </c>
      <c r="AB195" s="32">
        <f>IF(AD195=21,J195,0)</f>
        <v>0</v>
      </c>
      <c r="AD195" s="57">
        <v>21</v>
      </c>
      <c r="AE195" s="57">
        <f>G195*0.205200416650592</f>
        <v>0</v>
      </c>
      <c r="AF195" s="57">
        <f>G195*(1-0.205200416650592)</f>
        <v>0</v>
      </c>
      <c r="AG195" s="54" t="s">
        <v>13</v>
      </c>
      <c r="AM195" s="57">
        <f>F195*AE195</f>
        <v>0</v>
      </c>
      <c r="AN195" s="57">
        <f>F195*AF195</f>
        <v>0</v>
      </c>
      <c r="AO195" s="58" t="s">
        <v>580</v>
      </c>
      <c r="AP195" s="58" t="s">
        <v>596</v>
      </c>
      <c r="AQ195" s="48" t="s">
        <v>600</v>
      </c>
      <c r="AS195" s="57">
        <f>AM195+AN195</f>
        <v>0</v>
      </c>
      <c r="AT195" s="57">
        <f>G195/(100-AU195)*100</f>
        <v>0</v>
      </c>
      <c r="AU195" s="57">
        <v>0</v>
      </c>
      <c r="AV195" s="57">
        <f>L195</f>
        <v>1.47225</v>
      </c>
    </row>
    <row r="196" spans="4:6" ht="12.75">
      <c r="D196" s="27" t="s">
        <v>410</v>
      </c>
      <c r="F196" s="33">
        <v>3</v>
      </c>
    </row>
    <row r="197" spans="1:48" ht="12.75">
      <c r="A197" s="12" t="s">
        <v>74</v>
      </c>
      <c r="B197" s="12"/>
      <c r="C197" s="12" t="s">
        <v>191</v>
      </c>
      <c r="D197" s="12" t="s">
        <v>411</v>
      </c>
      <c r="E197" s="12" t="s">
        <v>532</v>
      </c>
      <c r="F197" s="34">
        <v>1</v>
      </c>
      <c r="G197" s="34">
        <v>0</v>
      </c>
      <c r="H197" s="34">
        <f>F197*AE197</f>
        <v>0</v>
      </c>
      <c r="I197" s="34">
        <f>J197-H197</f>
        <v>0</v>
      </c>
      <c r="J197" s="34">
        <f>F197*G197</f>
        <v>0</v>
      </c>
      <c r="K197" s="34">
        <v>0.071</v>
      </c>
      <c r="L197" s="34">
        <f>F197*K197</f>
        <v>0.071</v>
      </c>
      <c r="M197" s="55" t="s">
        <v>557</v>
      </c>
      <c r="P197" s="57">
        <f>IF(AG197="5",J197,0)</f>
        <v>0</v>
      </c>
      <c r="R197" s="57">
        <f>IF(AG197="1",H197,0)</f>
        <v>0</v>
      </c>
      <c r="S197" s="57">
        <f>IF(AG197="1",I197,0)</f>
        <v>0</v>
      </c>
      <c r="T197" s="57">
        <f>IF(AG197="7",H197,0)</f>
        <v>0</v>
      </c>
      <c r="U197" s="57">
        <f>IF(AG197="7",I197,0)</f>
        <v>0</v>
      </c>
      <c r="V197" s="57">
        <f>IF(AG197="2",H197,0)</f>
        <v>0</v>
      </c>
      <c r="W197" s="57">
        <f>IF(AG197="2",I197,0)</f>
        <v>0</v>
      </c>
      <c r="X197" s="57">
        <f>IF(AG197="0",J197,0)</f>
        <v>0</v>
      </c>
      <c r="Y197" s="48"/>
      <c r="Z197" s="34">
        <f>IF(AD197=0,J197,0)</f>
        <v>0</v>
      </c>
      <c r="AA197" s="34">
        <f>IF(AD197=15,J197,0)</f>
        <v>0</v>
      </c>
      <c r="AB197" s="34">
        <f>IF(AD197=21,J197,0)</f>
        <v>0</v>
      </c>
      <c r="AD197" s="57">
        <v>21</v>
      </c>
      <c r="AE197" s="57">
        <f>G197*1</f>
        <v>0</v>
      </c>
      <c r="AF197" s="57">
        <f>G197*(1-1)</f>
        <v>0</v>
      </c>
      <c r="AG197" s="55" t="s">
        <v>13</v>
      </c>
      <c r="AM197" s="57">
        <f>F197*AE197</f>
        <v>0</v>
      </c>
      <c r="AN197" s="57">
        <f>F197*AF197</f>
        <v>0</v>
      </c>
      <c r="AO197" s="58" t="s">
        <v>580</v>
      </c>
      <c r="AP197" s="58" t="s">
        <v>596</v>
      </c>
      <c r="AQ197" s="48" t="s">
        <v>600</v>
      </c>
      <c r="AS197" s="57">
        <f>AM197+AN197</f>
        <v>0</v>
      </c>
      <c r="AT197" s="57">
        <f>G197/(100-AU197)*100</f>
        <v>0</v>
      </c>
      <c r="AU197" s="57">
        <v>0</v>
      </c>
      <c r="AV197" s="57">
        <f>L197</f>
        <v>0.071</v>
      </c>
    </row>
    <row r="198" spans="4:6" ht="12.75">
      <c r="D198" s="27" t="s">
        <v>412</v>
      </c>
      <c r="F198" s="33">
        <v>1</v>
      </c>
    </row>
    <row r="199" spans="1:48" ht="12.75">
      <c r="A199" s="12" t="s">
        <v>75</v>
      </c>
      <c r="B199" s="12"/>
      <c r="C199" s="12" t="s">
        <v>192</v>
      </c>
      <c r="D199" s="12" t="s">
        <v>413</v>
      </c>
      <c r="E199" s="12" t="s">
        <v>532</v>
      </c>
      <c r="F199" s="34">
        <v>2</v>
      </c>
      <c r="G199" s="34">
        <v>0</v>
      </c>
      <c r="H199" s="34">
        <f>F199*AE199</f>
        <v>0</v>
      </c>
      <c r="I199" s="34">
        <f>J199-H199</f>
        <v>0</v>
      </c>
      <c r="J199" s="34">
        <f>F199*G199</f>
        <v>0</v>
      </c>
      <c r="K199" s="34">
        <v>0.08</v>
      </c>
      <c r="L199" s="34">
        <f>F199*K199</f>
        <v>0.16</v>
      </c>
      <c r="M199" s="55" t="s">
        <v>557</v>
      </c>
      <c r="P199" s="57">
        <f>IF(AG199="5",J199,0)</f>
        <v>0</v>
      </c>
      <c r="R199" s="57">
        <f>IF(AG199="1",H199,0)</f>
        <v>0</v>
      </c>
      <c r="S199" s="57">
        <f>IF(AG199="1",I199,0)</f>
        <v>0</v>
      </c>
      <c r="T199" s="57">
        <f>IF(AG199="7",H199,0)</f>
        <v>0</v>
      </c>
      <c r="U199" s="57">
        <f>IF(AG199="7",I199,0)</f>
        <v>0</v>
      </c>
      <c r="V199" s="57">
        <f>IF(AG199="2",H199,0)</f>
        <v>0</v>
      </c>
      <c r="W199" s="57">
        <f>IF(AG199="2",I199,0)</f>
        <v>0</v>
      </c>
      <c r="X199" s="57">
        <f>IF(AG199="0",J199,0)</f>
        <v>0</v>
      </c>
      <c r="Y199" s="48"/>
      <c r="Z199" s="34">
        <f>IF(AD199=0,J199,0)</f>
        <v>0</v>
      </c>
      <c r="AA199" s="34">
        <f>IF(AD199=15,J199,0)</f>
        <v>0</v>
      </c>
      <c r="AB199" s="34">
        <f>IF(AD199=21,J199,0)</f>
        <v>0</v>
      </c>
      <c r="AD199" s="57">
        <v>21</v>
      </c>
      <c r="AE199" s="57">
        <f>G199*1</f>
        <v>0</v>
      </c>
      <c r="AF199" s="57">
        <f>G199*(1-1)</f>
        <v>0</v>
      </c>
      <c r="AG199" s="55" t="s">
        <v>13</v>
      </c>
      <c r="AM199" s="57">
        <f>F199*AE199</f>
        <v>0</v>
      </c>
      <c r="AN199" s="57">
        <f>F199*AF199</f>
        <v>0</v>
      </c>
      <c r="AO199" s="58" t="s">
        <v>580</v>
      </c>
      <c r="AP199" s="58" t="s">
        <v>596</v>
      </c>
      <c r="AQ199" s="48" t="s">
        <v>600</v>
      </c>
      <c r="AS199" s="57">
        <f>AM199+AN199</f>
        <v>0</v>
      </c>
      <c r="AT199" s="57">
        <f>G199/(100-AU199)*100</f>
        <v>0</v>
      </c>
      <c r="AU199" s="57">
        <v>0</v>
      </c>
      <c r="AV199" s="57">
        <f>L199</f>
        <v>0.16</v>
      </c>
    </row>
    <row r="200" spans="4:6" ht="12.75">
      <c r="D200" s="27" t="s">
        <v>414</v>
      </c>
      <c r="F200" s="33">
        <v>2</v>
      </c>
    </row>
    <row r="201" spans="1:48" ht="12.75">
      <c r="A201" s="10" t="s">
        <v>76</v>
      </c>
      <c r="B201" s="10"/>
      <c r="C201" s="10" t="s">
        <v>193</v>
      </c>
      <c r="D201" s="10" t="s">
        <v>415</v>
      </c>
      <c r="E201" s="10" t="s">
        <v>529</v>
      </c>
      <c r="F201" s="32">
        <v>3.647</v>
      </c>
      <c r="G201" s="32">
        <v>0</v>
      </c>
      <c r="H201" s="32">
        <f>F201*AE201</f>
        <v>0</v>
      </c>
      <c r="I201" s="32">
        <f>J201-H201</f>
        <v>0</v>
      </c>
      <c r="J201" s="32">
        <f>F201*G201</f>
        <v>0</v>
      </c>
      <c r="K201" s="32">
        <v>0</v>
      </c>
      <c r="L201" s="32">
        <f>F201*K201</f>
        <v>0</v>
      </c>
      <c r="M201" s="54" t="s">
        <v>557</v>
      </c>
      <c r="P201" s="57">
        <f>IF(AG201="5",J201,0)</f>
        <v>0</v>
      </c>
      <c r="R201" s="57">
        <f>IF(AG201="1",H201,0)</f>
        <v>0</v>
      </c>
      <c r="S201" s="57">
        <f>IF(AG201="1",I201,0)</f>
        <v>0</v>
      </c>
      <c r="T201" s="57">
        <f>IF(AG201="7",H201,0)</f>
        <v>0</v>
      </c>
      <c r="U201" s="57">
        <f>IF(AG201="7",I201,0)</f>
        <v>0</v>
      </c>
      <c r="V201" s="57">
        <f>IF(AG201="2",H201,0)</f>
        <v>0</v>
      </c>
      <c r="W201" s="57">
        <f>IF(AG201="2",I201,0)</f>
        <v>0</v>
      </c>
      <c r="X201" s="57">
        <f>IF(AG201="0",J201,0)</f>
        <v>0</v>
      </c>
      <c r="Y201" s="48"/>
      <c r="Z201" s="32">
        <f>IF(AD201=0,J201,0)</f>
        <v>0</v>
      </c>
      <c r="AA201" s="32">
        <f>IF(AD201=15,J201,0)</f>
        <v>0</v>
      </c>
      <c r="AB201" s="32">
        <f>IF(AD201=21,J201,0)</f>
        <v>0</v>
      </c>
      <c r="AD201" s="57">
        <v>21</v>
      </c>
      <c r="AE201" s="57">
        <f>G201*0</f>
        <v>0</v>
      </c>
      <c r="AF201" s="57">
        <f>G201*(1-0)</f>
        <v>0</v>
      </c>
      <c r="AG201" s="54" t="s">
        <v>11</v>
      </c>
      <c r="AM201" s="57">
        <f>F201*AE201</f>
        <v>0</v>
      </c>
      <c r="AN201" s="57">
        <f>F201*AF201</f>
        <v>0</v>
      </c>
      <c r="AO201" s="58" t="s">
        <v>580</v>
      </c>
      <c r="AP201" s="58" t="s">
        <v>596</v>
      </c>
      <c r="AQ201" s="48" t="s">
        <v>600</v>
      </c>
      <c r="AS201" s="57">
        <f>AM201+AN201</f>
        <v>0</v>
      </c>
      <c r="AT201" s="57">
        <f>G201/(100-AU201)*100</f>
        <v>0</v>
      </c>
      <c r="AU201" s="57">
        <v>0</v>
      </c>
      <c r="AV201" s="57">
        <f>L201</f>
        <v>0</v>
      </c>
    </row>
    <row r="202" spans="4:6" ht="12.75">
      <c r="D202" s="27" t="s">
        <v>416</v>
      </c>
      <c r="F202" s="33">
        <v>3.647</v>
      </c>
    </row>
    <row r="203" spans="1:37" ht="12.75">
      <c r="A203" s="11"/>
      <c r="B203" s="23"/>
      <c r="C203" s="23" t="s">
        <v>194</v>
      </c>
      <c r="D203" s="23" t="s">
        <v>417</v>
      </c>
      <c r="E203" s="11" t="s">
        <v>6</v>
      </c>
      <c r="F203" s="11" t="s">
        <v>6</v>
      </c>
      <c r="G203" s="11" t="s">
        <v>6</v>
      </c>
      <c r="H203" s="60">
        <f>SUM(H204:H215)</f>
        <v>0</v>
      </c>
      <c r="I203" s="60">
        <f>SUM(I204:I215)</f>
        <v>0</v>
      </c>
      <c r="J203" s="60">
        <f>H203+I203</f>
        <v>0</v>
      </c>
      <c r="K203" s="48"/>
      <c r="L203" s="60">
        <f>SUM(L204:L215)</f>
        <v>1.0432516</v>
      </c>
      <c r="M203" s="48"/>
      <c r="Y203" s="48"/>
      <c r="AI203" s="60">
        <f>SUM(Z204:Z215)</f>
        <v>0</v>
      </c>
      <c r="AJ203" s="60">
        <f>SUM(AA204:AA215)</f>
        <v>0</v>
      </c>
      <c r="AK203" s="60">
        <f>SUM(AB204:AB215)</f>
        <v>0</v>
      </c>
    </row>
    <row r="204" spans="1:48" ht="12.75">
      <c r="A204" s="10" t="s">
        <v>77</v>
      </c>
      <c r="B204" s="10"/>
      <c r="C204" s="10" t="s">
        <v>195</v>
      </c>
      <c r="D204" s="10" t="s">
        <v>418</v>
      </c>
      <c r="E204" s="10" t="s">
        <v>531</v>
      </c>
      <c r="F204" s="32">
        <v>250.84</v>
      </c>
      <c r="G204" s="32">
        <v>0</v>
      </c>
      <c r="H204" s="32">
        <f>F204*AE204</f>
        <v>0</v>
      </c>
      <c r="I204" s="32">
        <f>J204-H204</f>
        <v>0</v>
      </c>
      <c r="J204" s="32">
        <f>F204*G204</f>
        <v>0</v>
      </c>
      <c r="K204" s="32">
        <v>0</v>
      </c>
      <c r="L204" s="32">
        <f>F204*K204</f>
        <v>0</v>
      </c>
      <c r="M204" s="54" t="s">
        <v>557</v>
      </c>
      <c r="P204" s="57">
        <f>IF(AG204="5",J204,0)</f>
        <v>0</v>
      </c>
      <c r="R204" s="57">
        <f>IF(AG204="1",H204,0)</f>
        <v>0</v>
      </c>
      <c r="S204" s="57">
        <f>IF(AG204="1",I204,0)</f>
        <v>0</v>
      </c>
      <c r="T204" s="57">
        <f>IF(AG204="7",H204,0)</f>
        <v>0</v>
      </c>
      <c r="U204" s="57">
        <f>IF(AG204="7",I204,0)</f>
        <v>0</v>
      </c>
      <c r="V204" s="57">
        <f>IF(AG204="2",H204,0)</f>
        <v>0</v>
      </c>
      <c r="W204" s="57">
        <f>IF(AG204="2",I204,0)</f>
        <v>0</v>
      </c>
      <c r="X204" s="57">
        <f>IF(AG204="0",J204,0)</f>
        <v>0</v>
      </c>
      <c r="Y204" s="48"/>
      <c r="Z204" s="32">
        <f>IF(AD204=0,J204,0)</f>
        <v>0</v>
      </c>
      <c r="AA204" s="32">
        <f>IF(AD204=15,J204,0)</f>
        <v>0</v>
      </c>
      <c r="AB204" s="32">
        <f>IF(AD204=21,J204,0)</f>
        <v>0</v>
      </c>
      <c r="AD204" s="57">
        <v>21</v>
      </c>
      <c r="AE204" s="57">
        <f>G204*0</f>
        <v>0</v>
      </c>
      <c r="AF204" s="57">
        <f>G204*(1-0)</f>
        <v>0</v>
      </c>
      <c r="AG204" s="54" t="s">
        <v>13</v>
      </c>
      <c r="AM204" s="57">
        <f>F204*AE204</f>
        <v>0</v>
      </c>
      <c r="AN204" s="57">
        <f>F204*AF204</f>
        <v>0</v>
      </c>
      <c r="AO204" s="58" t="s">
        <v>581</v>
      </c>
      <c r="AP204" s="58" t="s">
        <v>597</v>
      </c>
      <c r="AQ204" s="48" t="s">
        <v>600</v>
      </c>
      <c r="AS204" s="57">
        <f>AM204+AN204</f>
        <v>0</v>
      </c>
      <c r="AT204" s="57">
        <f>G204/(100-AU204)*100</f>
        <v>0</v>
      </c>
      <c r="AU204" s="57">
        <v>0</v>
      </c>
      <c r="AV204" s="57">
        <f>L204</f>
        <v>0</v>
      </c>
    </row>
    <row r="205" spans="4:6" ht="12.75">
      <c r="D205" s="27" t="s">
        <v>419</v>
      </c>
      <c r="F205" s="33">
        <v>250.84</v>
      </c>
    </row>
    <row r="206" spans="1:48" ht="12.75">
      <c r="A206" s="10" t="s">
        <v>78</v>
      </c>
      <c r="B206" s="10"/>
      <c r="C206" s="10" t="s">
        <v>196</v>
      </c>
      <c r="D206" s="10" t="s">
        <v>420</v>
      </c>
      <c r="E206" s="10" t="s">
        <v>531</v>
      </c>
      <c r="F206" s="32">
        <v>250.84</v>
      </c>
      <c r="G206" s="32">
        <v>0</v>
      </c>
      <c r="H206" s="32">
        <f>F206*AE206</f>
        <v>0</v>
      </c>
      <c r="I206" s="32">
        <f>J206-H206</f>
        <v>0</v>
      </c>
      <c r="J206" s="32">
        <f>F206*G206</f>
        <v>0</v>
      </c>
      <c r="K206" s="32">
        <v>0</v>
      </c>
      <c r="L206" s="32">
        <f>F206*K206</f>
        <v>0</v>
      </c>
      <c r="M206" s="54" t="s">
        <v>557</v>
      </c>
      <c r="P206" s="57">
        <f>IF(AG206="5",J206,0)</f>
        <v>0</v>
      </c>
      <c r="R206" s="57">
        <f>IF(AG206="1",H206,0)</f>
        <v>0</v>
      </c>
      <c r="S206" s="57">
        <f>IF(AG206="1",I206,0)</f>
        <v>0</v>
      </c>
      <c r="T206" s="57">
        <f>IF(AG206="7",H206,0)</f>
        <v>0</v>
      </c>
      <c r="U206" s="57">
        <f>IF(AG206="7",I206,0)</f>
        <v>0</v>
      </c>
      <c r="V206" s="57">
        <f>IF(AG206="2",H206,0)</f>
        <v>0</v>
      </c>
      <c r="W206" s="57">
        <f>IF(AG206="2",I206,0)</f>
        <v>0</v>
      </c>
      <c r="X206" s="57">
        <f>IF(AG206="0",J206,0)</f>
        <v>0</v>
      </c>
      <c r="Y206" s="48"/>
      <c r="Z206" s="32">
        <f>IF(AD206=0,J206,0)</f>
        <v>0</v>
      </c>
      <c r="AA206" s="32">
        <f>IF(AD206=15,J206,0)</f>
        <v>0</v>
      </c>
      <c r="AB206" s="32">
        <f>IF(AD206=21,J206,0)</f>
        <v>0</v>
      </c>
      <c r="AD206" s="57">
        <v>21</v>
      </c>
      <c r="AE206" s="57">
        <f>G206*0</f>
        <v>0</v>
      </c>
      <c r="AF206" s="57">
        <f>G206*(1-0)</f>
        <v>0</v>
      </c>
      <c r="AG206" s="54" t="s">
        <v>13</v>
      </c>
      <c r="AM206" s="57">
        <f>F206*AE206</f>
        <v>0</v>
      </c>
      <c r="AN206" s="57">
        <f>F206*AF206</f>
        <v>0</v>
      </c>
      <c r="AO206" s="58" t="s">
        <v>581</v>
      </c>
      <c r="AP206" s="58" t="s">
        <v>597</v>
      </c>
      <c r="AQ206" s="48" t="s">
        <v>600</v>
      </c>
      <c r="AS206" s="57">
        <f>AM206+AN206</f>
        <v>0</v>
      </c>
      <c r="AT206" s="57">
        <f>G206/(100-AU206)*100</f>
        <v>0</v>
      </c>
      <c r="AU206" s="57">
        <v>0</v>
      </c>
      <c r="AV206" s="57">
        <f>L206</f>
        <v>0</v>
      </c>
    </row>
    <row r="207" spans="4:6" ht="12.75">
      <c r="D207" s="27" t="s">
        <v>334</v>
      </c>
      <c r="F207" s="33">
        <v>250.84</v>
      </c>
    </row>
    <row r="208" spans="1:48" ht="12.75">
      <c r="A208" s="10" t="s">
        <v>79</v>
      </c>
      <c r="B208" s="10"/>
      <c r="C208" s="10" t="s">
        <v>197</v>
      </c>
      <c r="D208" s="10" t="s">
        <v>421</v>
      </c>
      <c r="E208" s="10" t="s">
        <v>535</v>
      </c>
      <c r="F208" s="32">
        <v>279.16</v>
      </c>
      <c r="G208" s="32">
        <v>0</v>
      </c>
      <c r="H208" s="32">
        <f>F208*AE208</f>
        <v>0</v>
      </c>
      <c r="I208" s="32">
        <f>J208-H208</f>
        <v>0</v>
      </c>
      <c r="J208" s="32">
        <f>F208*G208</f>
        <v>0</v>
      </c>
      <c r="K208" s="32">
        <v>8E-05</v>
      </c>
      <c r="L208" s="32">
        <f>F208*K208</f>
        <v>0.022332800000000003</v>
      </c>
      <c r="M208" s="54" t="s">
        <v>557</v>
      </c>
      <c r="P208" s="57">
        <f>IF(AG208="5",J208,0)</f>
        <v>0</v>
      </c>
      <c r="R208" s="57">
        <f>IF(AG208="1",H208,0)</f>
        <v>0</v>
      </c>
      <c r="S208" s="57">
        <f>IF(AG208="1",I208,0)</f>
        <v>0</v>
      </c>
      <c r="T208" s="57">
        <f>IF(AG208="7",H208,0)</f>
        <v>0</v>
      </c>
      <c r="U208" s="57">
        <f>IF(AG208="7",I208,0)</f>
        <v>0</v>
      </c>
      <c r="V208" s="57">
        <f>IF(AG208="2",H208,0)</f>
        <v>0</v>
      </c>
      <c r="W208" s="57">
        <f>IF(AG208="2",I208,0)</f>
        <v>0</v>
      </c>
      <c r="X208" s="57">
        <f>IF(AG208="0",J208,0)</f>
        <v>0</v>
      </c>
      <c r="Y208" s="48"/>
      <c r="Z208" s="32">
        <f>IF(AD208=0,J208,0)</f>
        <v>0</v>
      </c>
      <c r="AA208" s="32">
        <f>IF(AD208=15,J208,0)</f>
        <v>0</v>
      </c>
      <c r="AB208" s="32">
        <f>IF(AD208=21,J208,0)</f>
        <v>0</v>
      </c>
      <c r="AD208" s="57">
        <v>21</v>
      </c>
      <c r="AE208" s="57">
        <f>G208*0.344988037331562</f>
        <v>0</v>
      </c>
      <c r="AF208" s="57">
        <f>G208*(1-0.344988037331562)</f>
        <v>0</v>
      </c>
      <c r="AG208" s="54" t="s">
        <v>13</v>
      </c>
      <c r="AM208" s="57">
        <f>F208*AE208</f>
        <v>0</v>
      </c>
      <c r="AN208" s="57">
        <f>F208*AF208</f>
        <v>0</v>
      </c>
      <c r="AO208" s="58" t="s">
        <v>581</v>
      </c>
      <c r="AP208" s="58" t="s">
        <v>597</v>
      </c>
      <c r="AQ208" s="48" t="s">
        <v>600</v>
      </c>
      <c r="AS208" s="57">
        <f>AM208+AN208</f>
        <v>0</v>
      </c>
      <c r="AT208" s="57">
        <f>G208/(100-AU208)*100</f>
        <v>0</v>
      </c>
      <c r="AU208" s="57">
        <v>0</v>
      </c>
      <c r="AV208" s="57">
        <f>L208</f>
        <v>0.022332800000000003</v>
      </c>
    </row>
    <row r="209" spans="4:6" ht="12.75">
      <c r="D209" s="27" t="s">
        <v>422</v>
      </c>
      <c r="F209" s="33">
        <v>121.4</v>
      </c>
    </row>
    <row r="210" spans="4:6" ht="12.75">
      <c r="D210" s="27" t="s">
        <v>423</v>
      </c>
      <c r="F210" s="33">
        <v>-12.6</v>
      </c>
    </row>
    <row r="211" spans="4:6" ht="12.75">
      <c r="D211" s="27" t="s">
        <v>424</v>
      </c>
      <c r="F211" s="33">
        <v>181.16</v>
      </c>
    </row>
    <row r="212" spans="4:6" ht="12.75">
      <c r="D212" s="27" t="s">
        <v>425</v>
      </c>
      <c r="F212" s="33">
        <v>-10.8</v>
      </c>
    </row>
    <row r="213" spans="1:48" ht="12.75">
      <c r="A213" s="10" t="s">
        <v>80</v>
      </c>
      <c r="B213" s="10"/>
      <c r="C213" s="10" t="s">
        <v>198</v>
      </c>
      <c r="D213" s="10" t="s">
        <v>426</v>
      </c>
      <c r="E213" s="10" t="s">
        <v>531</v>
      </c>
      <c r="F213" s="32">
        <v>250.84</v>
      </c>
      <c r="G213" s="32">
        <v>0</v>
      </c>
      <c r="H213" s="32">
        <f>F213*AE213</f>
        <v>0</v>
      </c>
      <c r="I213" s="32">
        <f>J213-H213</f>
        <v>0</v>
      </c>
      <c r="J213" s="32">
        <f>F213*G213</f>
        <v>0</v>
      </c>
      <c r="K213" s="32">
        <v>0.00407</v>
      </c>
      <c r="L213" s="32">
        <f>F213*K213</f>
        <v>1.0209188</v>
      </c>
      <c r="M213" s="54" t="s">
        <v>557</v>
      </c>
      <c r="P213" s="57">
        <f>IF(AG213="5",J213,0)</f>
        <v>0</v>
      </c>
      <c r="R213" s="57">
        <f>IF(AG213="1",H213,0)</f>
        <v>0</v>
      </c>
      <c r="S213" s="57">
        <f>IF(AG213="1",I213,0)</f>
        <v>0</v>
      </c>
      <c r="T213" s="57">
        <f>IF(AG213="7",H213,0)</f>
        <v>0</v>
      </c>
      <c r="U213" s="57">
        <f>IF(AG213="7",I213,0)</f>
        <v>0</v>
      </c>
      <c r="V213" s="57">
        <f>IF(AG213="2",H213,0)</f>
        <v>0</v>
      </c>
      <c r="W213" s="57">
        <f>IF(AG213="2",I213,0)</f>
        <v>0</v>
      </c>
      <c r="X213" s="57">
        <f>IF(AG213="0",J213,0)</f>
        <v>0</v>
      </c>
      <c r="Y213" s="48"/>
      <c r="Z213" s="32">
        <f>IF(AD213=0,J213,0)</f>
        <v>0</v>
      </c>
      <c r="AA213" s="32">
        <f>IF(AD213=15,J213,0)</f>
        <v>0</v>
      </c>
      <c r="AB213" s="32">
        <f>IF(AD213=21,J213,0)</f>
        <v>0</v>
      </c>
      <c r="AD213" s="57">
        <v>21</v>
      </c>
      <c r="AE213" s="57">
        <f>G213*0.710096618357488</f>
        <v>0</v>
      </c>
      <c r="AF213" s="57">
        <f>G213*(1-0.710096618357488)</f>
        <v>0</v>
      </c>
      <c r="AG213" s="54" t="s">
        <v>13</v>
      </c>
      <c r="AM213" s="57">
        <f>F213*AE213</f>
        <v>0</v>
      </c>
      <c r="AN213" s="57">
        <f>F213*AF213</f>
        <v>0</v>
      </c>
      <c r="AO213" s="58" t="s">
        <v>581</v>
      </c>
      <c r="AP213" s="58" t="s">
        <v>597</v>
      </c>
      <c r="AQ213" s="48" t="s">
        <v>600</v>
      </c>
      <c r="AS213" s="57">
        <f>AM213+AN213</f>
        <v>0</v>
      </c>
      <c r="AT213" s="57">
        <f>G213/(100-AU213)*100</f>
        <v>0</v>
      </c>
      <c r="AU213" s="57">
        <v>0</v>
      </c>
      <c r="AV213" s="57">
        <f>L213</f>
        <v>1.0209188</v>
      </c>
    </row>
    <row r="214" spans="4:6" ht="12.75">
      <c r="D214" s="27" t="s">
        <v>427</v>
      </c>
      <c r="F214" s="33">
        <v>250.84</v>
      </c>
    </row>
    <row r="215" spans="1:48" ht="12.75">
      <c r="A215" s="10" t="s">
        <v>81</v>
      </c>
      <c r="B215" s="10"/>
      <c r="C215" s="10" t="s">
        <v>199</v>
      </c>
      <c r="D215" s="10" t="s">
        <v>428</v>
      </c>
      <c r="E215" s="10" t="s">
        <v>529</v>
      </c>
      <c r="F215" s="32">
        <v>1.043</v>
      </c>
      <c r="G215" s="32">
        <v>0</v>
      </c>
      <c r="H215" s="32">
        <f>F215*AE215</f>
        <v>0</v>
      </c>
      <c r="I215" s="32">
        <f>J215-H215</f>
        <v>0</v>
      </c>
      <c r="J215" s="32">
        <f>F215*G215</f>
        <v>0</v>
      </c>
      <c r="K215" s="32">
        <v>0</v>
      </c>
      <c r="L215" s="32">
        <f>F215*K215</f>
        <v>0</v>
      </c>
      <c r="M215" s="54" t="s">
        <v>557</v>
      </c>
      <c r="P215" s="57">
        <f>IF(AG215="5",J215,0)</f>
        <v>0</v>
      </c>
      <c r="R215" s="57">
        <f>IF(AG215="1",H215,0)</f>
        <v>0</v>
      </c>
      <c r="S215" s="57">
        <f>IF(AG215="1",I215,0)</f>
        <v>0</v>
      </c>
      <c r="T215" s="57">
        <f>IF(AG215="7",H215,0)</f>
        <v>0</v>
      </c>
      <c r="U215" s="57">
        <f>IF(AG215="7",I215,0)</f>
        <v>0</v>
      </c>
      <c r="V215" s="57">
        <f>IF(AG215="2",H215,0)</f>
        <v>0</v>
      </c>
      <c r="W215" s="57">
        <f>IF(AG215="2",I215,0)</f>
        <v>0</v>
      </c>
      <c r="X215" s="57">
        <f>IF(AG215="0",J215,0)</f>
        <v>0</v>
      </c>
      <c r="Y215" s="48"/>
      <c r="Z215" s="32">
        <f>IF(AD215=0,J215,0)</f>
        <v>0</v>
      </c>
      <c r="AA215" s="32">
        <f>IF(AD215=15,J215,0)</f>
        <v>0</v>
      </c>
      <c r="AB215" s="32">
        <f>IF(AD215=21,J215,0)</f>
        <v>0</v>
      </c>
      <c r="AD215" s="57">
        <v>21</v>
      </c>
      <c r="AE215" s="57">
        <f>G215*0</f>
        <v>0</v>
      </c>
      <c r="AF215" s="57">
        <f>G215*(1-0)</f>
        <v>0</v>
      </c>
      <c r="AG215" s="54" t="s">
        <v>11</v>
      </c>
      <c r="AM215" s="57">
        <f>F215*AE215</f>
        <v>0</v>
      </c>
      <c r="AN215" s="57">
        <f>F215*AF215</f>
        <v>0</v>
      </c>
      <c r="AO215" s="58" t="s">
        <v>581</v>
      </c>
      <c r="AP215" s="58" t="s">
        <v>597</v>
      </c>
      <c r="AQ215" s="48" t="s">
        <v>600</v>
      </c>
      <c r="AS215" s="57">
        <f>AM215+AN215</f>
        <v>0</v>
      </c>
      <c r="AT215" s="57">
        <f>G215/(100-AU215)*100</f>
        <v>0</v>
      </c>
      <c r="AU215" s="57">
        <v>0</v>
      </c>
      <c r="AV215" s="57">
        <f>L215</f>
        <v>0</v>
      </c>
    </row>
    <row r="216" spans="4:6" ht="12.75">
      <c r="D216" s="27" t="s">
        <v>429</v>
      </c>
      <c r="F216" s="33">
        <v>1.043</v>
      </c>
    </row>
    <row r="217" spans="1:37" ht="12.75">
      <c r="A217" s="11"/>
      <c r="B217" s="23"/>
      <c r="C217" s="23" t="s">
        <v>200</v>
      </c>
      <c r="D217" s="23" t="s">
        <v>430</v>
      </c>
      <c r="E217" s="11" t="s">
        <v>6</v>
      </c>
      <c r="F217" s="11" t="s">
        <v>6</v>
      </c>
      <c r="G217" s="11" t="s">
        <v>6</v>
      </c>
      <c r="H217" s="60">
        <f>SUM(H218:H218)</f>
        <v>0</v>
      </c>
      <c r="I217" s="60">
        <f>SUM(I218:I218)</f>
        <v>0</v>
      </c>
      <c r="J217" s="60">
        <f>H217+I217</f>
        <v>0</v>
      </c>
      <c r="K217" s="48"/>
      <c r="L217" s="60">
        <f>SUM(L218:L218)</f>
        <v>0.018800640000000004</v>
      </c>
      <c r="M217" s="48"/>
      <c r="Y217" s="48"/>
      <c r="AI217" s="60">
        <f>SUM(Z218:Z218)</f>
        <v>0</v>
      </c>
      <c r="AJ217" s="60">
        <f>SUM(AA218:AA218)</f>
        <v>0</v>
      </c>
      <c r="AK217" s="60">
        <f>SUM(AB218:AB218)</f>
        <v>0</v>
      </c>
    </row>
    <row r="218" spans="1:48" ht="12.75">
      <c r="A218" s="10" t="s">
        <v>82</v>
      </c>
      <c r="B218" s="10"/>
      <c r="C218" s="10" t="s">
        <v>201</v>
      </c>
      <c r="D218" s="10" t="s">
        <v>431</v>
      </c>
      <c r="E218" s="10" t="s">
        <v>531</v>
      </c>
      <c r="F218" s="32">
        <v>117.504</v>
      </c>
      <c r="G218" s="32">
        <v>0</v>
      </c>
      <c r="H218" s="32">
        <f>F218*AE218</f>
        <v>0</v>
      </c>
      <c r="I218" s="32">
        <f>J218-H218</f>
        <v>0</v>
      </c>
      <c r="J218" s="32">
        <f>F218*G218</f>
        <v>0</v>
      </c>
      <c r="K218" s="32">
        <v>0.00016</v>
      </c>
      <c r="L218" s="32">
        <f>F218*K218</f>
        <v>0.018800640000000004</v>
      </c>
      <c r="M218" s="54" t="s">
        <v>557</v>
      </c>
      <c r="P218" s="57">
        <f>IF(AG218="5",J218,0)</f>
        <v>0</v>
      </c>
      <c r="R218" s="57">
        <f>IF(AG218="1",H218,0)</f>
        <v>0</v>
      </c>
      <c r="S218" s="57">
        <f>IF(AG218="1",I218,0)</f>
        <v>0</v>
      </c>
      <c r="T218" s="57">
        <f>IF(AG218="7",H218,0)</f>
        <v>0</v>
      </c>
      <c r="U218" s="57">
        <f>IF(AG218="7",I218,0)</f>
        <v>0</v>
      </c>
      <c r="V218" s="57">
        <f>IF(AG218="2",H218,0)</f>
        <v>0</v>
      </c>
      <c r="W218" s="57">
        <f>IF(AG218="2",I218,0)</f>
        <v>0</v>
      </c>
      <c r="X218" s="57">
        <f>IF(AG218="0",J218,0)</f>
        <v>0</v>
      </c>
      <c r="Y218" s="48"/>
      <c r="Z218" s="32">
        <f>IF(AD218=0,J218,0)</f>
        <v>0</v>
      </c>
      <c r="AA218" s="32">
        <f>IF(AD218=15,J218,0)</f>
        <v>0</v>
      </c>
      <c r="AB218" s="32">
        <f>IF(AD218=21,J218,0)</f>
        <v>0</v>
      </c>
      <c r="AD218" s="57">
        <v>21</v>
      </c>
      <c r="AE218" s="57">
        <f>G218*0.2417701096566</f>
        <v>0</v>
      </c>
      <c r="AF218" s="57">
        <f>G218*(1-0.2417701096566)</f>
        <v>0</v>
      </c>
      <c r="AG218" s="54" t="s">
        <v>13</v>
      </c>
      <c r="AM218" s="57">
        <f>F218*AE218</f>
        <v>0</v>
      </c>
      <c r="AN218" s="57">
        <f>F218*AF218</f>
        <v>0</v>
      </c>
      <c r="AO218" s="58" t="s">
        <v>582</v>
      </c>
      <c r="AP218" s="58" t="s">
        <v>598</v>
      </c>
      <c r="AQ218" s="48" t="s">
        <v>600</v>
      </c>
      <c r="AS218" s="57">
        <f>AM218+AN218</f>
        <v>0</v>
      </c>
      <c r="AT218" s="57">
        <f>G218/(100-AU218)*100</f>
        <v>0</v>
      </c>
      <c r="AU218" s="57">
        <v>0</v>
      </c>
      <c r="AV218" s="57">
        <f>L218</f>
        <v>0.018800640000000004</v>
      </c>
    </row>
    <row r="219" spans="4:6" ht="12.75">
      <c r="D219" s="27" t="s">
        <v>432</v>
      </c>
      <c r="F219" s="33">
        <v>117.504</v>
      </c>
    </row>
    <row r="220" spans="1:37" ht="12.75">
      <c r="A220" s="11"/>
      <c r="B220" s="23"/>
      <c r="C220" s="23" t="s">
        <v>202</v>
      </c>
      <c r="D220" s="23" t="s">
        <v>433</v>
      </c>
      <c r="E220" s="11" t="s">
        <v>6</v>
      </c>
      <c r="F220" s="11" t="s">
        <v>6</v>
      </c>
      <c r="G220" s="11" t="s">
        <v>6</v>
      </c>
      <c r="H220" s="60">
        <f>SUM(H221:H225)</f>
        <v>0</v>
      </c>
      <c r="I220" s="60">
        <f>SUM(I221:I225)</f>
        <v>0</v>
      </c>
      <c r="J220" s="60">
        <f>H220+I220</f>
        <v>0</v>
      </c>
      <c r="K220" s="48"/>
      <c r="L220" s="60">
        <f>SUM(L221:L225)</f>
        <v>0.40023719999999996</v>
      </c>
      <c r="M220" s="48"/>
      <c r="Y220" s="48"/>
      <c r="AI220" s="60">
        <f>SUM(Z221:Z225)</f>
        <v>0</v>
      </c>
      <c r="AJ220" s="60">
        <f>SUM(AA221:AA225)</f>
        <v>0</v>
      </c>
      <c r="AK220" s="60">
        <f>SUM(AB221:AB225)</f>
        <v>0</v>
      </c>
    </row>
    <row r="221" spans="1:48" ht="12.75">
      <c r="A221" s="10" t="s">
        <v>83</v>
      </c>
      <c r="B221" s="10"/>
      <c r="C221" s="10" t="s">
        <v>203</v>
      </c>
      <c r="D221" s="10" t="s">
        <v>434</v>
      </c>
      <c r="E221" s="10" t="s">
        <v>531</v>
      </c>
      <c r="F221" s="32">
        <v>1111.77</v>
      </c>
      <c r="G221" s="32">
        <v>0</v>
      </c>
      <c r="H221" s="32">
        <f>F221*AE221</f>
        <v>0</v>
      </c>
      <c r="I221" s="32">
        <f>J221-H221</f>
        <v>0</v>
      </c>
      <c r="J221" s="32">
        <f>F221*G221</f>
        <v>0</v>
      </c>
      <c r="K221" s="32">
        <v>0.00015</v>
      </c>
      <c r="L221" s="32">
        <f>F221*K221</f>
        <v>0.16676549999999998</v>
      </c>
      <c r="M221" s="54" t="s">
        <v>557</v>
      </c>
      <c r="P221" s="57">
        <f>IF(AG221="5",J221,0)</f>
        <v>0</v>
      </c>
      <c r="R221" s="57">
        <f>IF(AG221="1",H221,0)</f>
        <v>0</v>
      </c>
      <c r="S221" s="57">
        <f>IF(AG221="1",I221,0)</f>
        <v>0</v>
      </c>
      <c r="T221" s="57">
        <f>IF(AG221="7",H221,0)</f>
        <v>0</v>
      </c>
      <c r="U221" s="57">
        <f>IF(AG221="7",I221,0)</f>
        <v>0</v>
      </c>
      <c r="V221" s="57">
        <f>IF(AG221="2",H221,0)</f>
        <v>0</v>
      </c>
      <c r="W221" s="57">
        <f>IF(AG221="2",I221,0)</f>
        <v>0</v>
      </c>
      <c r="X221" s="57">
        <f>IF(AG221="0",J221,0)</f>
        <v>0</v>
      </c>
      <c r="Y221" s="48"/>
      <c r="Z221" s="32">
        <f>IF(AD221=0,J221,0)</f>
        <v>0</v>
      </c>
      <c r="AA221" s="32">
        <f>IF(AD221=15,J221,0)</f>
        <v>0</v>
      </c>
      <c r="AB221" s="32">
        <f>IF(AD221=21,J221,0)</f>
        <v>0</v>
      </c>
      <c r="AD221" s="57">
        <v>21</v>
      </c>
      <c r="AE221" s="57">
        <f>G221*0.300552441380626</f>
        <v>0</v>
      </c>
      <c r="AF221" s="57">
        <f>G221*(1-0.300552441380626)</f>
        <v>0</v>
      </c>
      <c r="AG221" s="54" t="s">
        <v>13</v>
      </c>
      <c r="AM221" s="57">
        <f>F221*AE221</f>
        <v>0</v>
      </c>
      <c r="AN221" s="57">
        <f>F221*AF221</f>
        <v>0</v>
      </c>
      <c r="AO221" s="58" t="s">
        <v>583</v>
      </c>
      <c r="AP221" s="58" t="s">
        <v>598</v>
      </c>
      <c r="AQ221" s="48" t="s">
        <v>600</v>
      </c>
      <c r="AS221" s="57">
        <f>AM221+AN221</f>
        <v>0</v>
      </c>
      <c r="AT221" s="57">
        <f>G221/(100-AU221)*100</f>
        <v>0</v>
      </c>
      <c r="AU221" s="57">
        <v>0</v>
      </c>
      <c r="AV221" s="57">
        <f>L221</f>
        <v>0.16676549999999998</v>
      </c>
    </row>
    <row r="222" spans="4:6" ht="12.75">
      <c r="D222" s="27" t="s">
        <v>435</v>
      </c>
      <c r="F222" s="33">
        <v>408.733</v>
      </c>
    </row>
    <row r="223" spans="4:6" ht="12.75">
      <c r="D223" s="27" t="s">
        <v>436</v>
      </c>
      <c r="F223" s="33">
        <v>440.866</v>
      </c>
    </row>
    <row r="224" spans="4:6" ht="12.75">
      <c r="D224" s="27" t="s">
        <v>437</v>
      </c>
      <c r="F224" s="33">
        <v>262.171</v>
      </c>
    </row>
    <row r="225" spans="1:48" ht="12.75">
      <c r="A225" s="10" t="s">
        <v>84</v>
      </c>
      <c r="B225" s="10"/>
      <c r="C225" s="10" t="s">
        <v>204</v>
      </c>
      <c r="D225" s="10" t="s">
        <v>438</v>
      </c>
      <c r="E225" s="10" t="s">
        <v>531</v>
      </c>
      <c r="F225" s="32">
        <v>1111.77</v>
      </c>
      <c r="G225" s="32">
        <v>0</v>
      </c>
      <c r="H225" s="32">
        <f>F225*AE225</f>
        <v>0</v>
      </c>
      <c r="I225" s="32">
        <f>J225-H225</f>
        <v>0</v>
      </c>
      <c r="J225" s="32">
        <f>F225*G225</f>
        <v>0</v>
      </c>
      <c r="K225" s="32">
        <v>0.00021</v>
      </c>
      <c r="L225" s="32">
        <f>F225*K225</f>
        <v>0.2334717</v>
      </c>
      <c r="M225" s="54" t="s">
        <v>557</v>
      </c>
      <c r="P225" s="57">
        <f>IF(AG225="5",J225,0)</f>
        <v>0</v>
      </c>
      <c r="R225" s="57">
        <f>IF(AG225="1",H225,0)</f>
        <v>0</v>
      </c>
      <c r="S225" s="57">
        <f>IF(AG225="1",I225,0)</f>
        <v>0</v>
      </c>
      <c r="T225" s="57">
        <f>IF(AG225="7",H225,0)</f>
        <v>0</v>
      </c>
      <c r="U225" s="57">
        <f>IF(AG225="7",I225,0)</f>
        <v>0</v>
      </c>
      <c r="V225" s="57">
        <f>IF(AG225="2",H225,0)</f>
        <v>0</v>
      </c>
      <c r="W225" s="57">
        <f>IF(AG225="2",I225,0)</f>
        <v>0</v>
      </c>
      <c r="X225" s="57">
        <f>IF(AG225="0",J225,0)</f>
        <v>0</v>
      </c>
      <c r="Y225" s="48"/>
      <c r="Z225" s="32">
        <f>IF(AD225=0,J225,0)</f>
        <v>0</v>
      </c>
      <c r="AA225" s="32">
        <f>IF(AD225=15,J225,0)</f>
        <v>0</v>
      </c>
      <c r="AB225" s="32">
        <f>IF(AD225=21,J225,0)</f>
        <v>0</v>
      </c>
      <c r="AD225" s="57">
        <v>21</v>
      </c>
      <c r="AE225" s="57">
        <f>G225*0.077726213231174</f>
        <v>0</v>
      </c>
      <c r="AF225" s="57">
        <f>G225*(1-0.077726213231174)</f>
        <v>0</v>
      </c>
      <c r="AG225" s="54" t="s">
        <v>13</v>
      </c>
      <c r="AM225" s="57">
        <f>F225*AE225</f>
        <v>0</v>
      </c>
      <c r="AN225" s="57">
        <f>F225*AF225</f>
        <v>0</v>
      </c>
      <c r="AO225" s="58" t="s">
        <v>583</v>
      </c>
      <c r="AP225" s="58" t="s">
        <v>598</v>
      </c>
      <c r="AQ225" s="48" t="s">
        <v>600</v>
      </c>
      <c r="AS225" s="57">
        <f>AM225+AN225</f>
        <v>0</v>
      </c>
      <c r="AT225" s="57">
        <f>G225/(100-AU225)*100</f>
        <v>0</v>
      </c>
      <c r="AU225" s="57">
        <v>0</v>
      </c>
      <c r="AV225" s="57">
        <f>L225</f>
        <v>0.2334717</v>
      </c>
    </row>
    <row r="226" spans="4:6" ht="12.75">
      <c r="D226" s="27" t="s">
        <v>439</v>
      </c>
      <c r="F226" s="33">
        <v>1111.77</v>
      </c>
    </row>
    <row r="227" spans="1:37" ht="12.75">
      <c r="A227" s="11"/>
      <c r="B227" s="23"/>
      <c r="C227" s="23" t="s">
        <v>96</v>
      </c>
      <c r="D227" s="23" t="s">
        <v>440</v>
      </c>
      <c r="E227" s="11" t="s">
        <v>6</v>
      </c>
      <c r="F227" s="11" t="s">
        <v>6</v>
      </c>
      <c r="G227" s="11" t="s">
        <v>6</v>
      </c>
      <c r="H227" s="60">
        <f>SUM(H228:H230)</f>
        <v>0</v>
      </c>
      <c r="I227" s="60">
        <f>SUM(I228:I230)</f>
        <v>0</v>
      </c>
      <c r="J227" s="60">
        <f>H227+I227</f>
        <v>0</v>
      </c>
      <c r="K227" s="48"/>
      <c r="L227" s="60">
        <f>SUM(L228:L230)</f>
        <v>0</v>
      </c>
      <c r="M227" s="48"/>
      <c r="Y227" s="48"/>
      <c r="AI227" s="60">
        <f>SUM(Z228:Z230)</f>
        <v>0</v>
      </c>
      <c r="AJ227" s="60">
        <f>SUM(AA228:AA230)</f>
        <v>0</v>
      </c>
      <c r="AK227" s="60">
        <f>SUM(AB228:AB230)</f>
        <v>0</v>
      </c>
    </row>
    <row r="228" spans="1:48" ht="12.75">
      <c r="A228" s="10" t="s">
        <v>85</v>
      </c>
      <c r="B228" s="10"/>
      <c r="C228" s="10" t="s">
        <v>205</v>
      </c>
      <c r="D228" s="10" t="s">
        <v>441</v>
      </c>
      <c r="E228" s="10" t="s">
        <v>536</v>
      </c>
      <c r="F228" s="32">
        <v>18</v>
      </c>
      <c r="G228" s="32">
        <v>0</v>
      </c>
      <c r="H228" s="32">
        <f>F228*AE228</f>
        <v>0</v>
      </c>
      <c r="I228" s="32">
        <f>J228-H228</f>
        <v>0</v>
      </c>
      <c r="J228" s="32">
        <f>F228*G228</f>
        <v>0</v>
      </c>
      <c r="K228" s="32">
        <v>0</v>
      </c>
      <c r="L228" s="32">
        <f>F228*K228</f>
        <v>0</v>
      </c>
      <c r="M228" s="54" t="s">
        <v>557</v>
      </c>
      <c r="P228" s="57">
        <f>IF(AG228="5",J228,0)</f>
        <v>0</v>
      </c>
      <c r="R228" s="57">
        <f>IF(AG228="1",H228,0)</f>
        <v>0</v>
      </c>
      <c r="S228" s="57">
        <f>IF(AG228="1",I228,0)</f>
        <v>0</v>
      </c>
      <c r="T228" s="57">
        <f>IF(AG228="7",H228,0)</f>
        <v>0</v>
      </c>
      <c r="U228" s="57">
        <f>IF(AG228="7",I228,0)</f>
        <v>0</v>
      </c>
      <c r="V228" s="57">
        <f>IF(AG228="2",H228,0)</f>
        <v>0</v>
      </c>
      <c r="W228" s="57">
        <f>IF(AG228="2",I228,0)</f>
        <v>0</v>
      </c>
      <c r="X228" s="57">
        <f>IF(AG228="0",J228,0)</f>
        <v>0</v>
      </c>
      <c r="Y228" s="48"/>
      <c r="Z228" s="32">
        <f>IF(AD228=0,J228,0)</f>
        <v>0</v>
      </c>
      <c r="AA228" s="32">
        <f>IF(AD228=15,J228,0)</f>
        <v>0</v>
      </c>
      <c r="AB228" s="32">
        <f>IF(AD228=21,J228,0)</f>
        <v>0</v>
      </c>
      <c r="AD228" s="57">
        <v>21</v>
      </c>
      <c r="AE228" s="57">
        <f>G228*0</f>
        <v>0</v>
      </c>
      <c r="AF228" s="57">
        <f>G228*(1-0)</f>
        <v>0</v>
      </c>
      <c r="AG228" s="54" t="s">
        <v>7</v>
      </c>
      <c r="AM228" s="57">
        <f>F228*AE228</f>
        <v>0</v>
      </c>
      <c r="AN228" s="57">
        <f>F228*AF228</f>
        <v>0</v>
      </c>
      <c r="AO228" s="58" t="s">
        <v>584</v>
      </c>
      <c r="AP228" s="58" t="s">
        <v>599</v>
      </c>
      <c r="AQ228" s="48" t="s">
        <v>600</v>
      </c>
      <c r="AS228" s="57">
        <f>AM228+AN228</f>
        <v>0</v>
      </c>
      <c r="AT228" s="57">
        <f>G228/(100-AU228)*100</f>
        <v>0</v>
      </c>
      <c r="AU228" s="57">
        <v>0</v>
      </c>
      <c r="AV228" s="57">
        <f>L228</f>
        <v>0</v>
      </c>
    </row>
    <row r="229" spans="4:6" ht="12.75">
      <c r="D229" s="27" t="s">
        <v>442</v>
      </c>
      <c r="F229" s="33">
        <v>18</v>
      </c>
    </row>
    <row r="230" spans="1:48" ht="12.75">
      <c r="A230" s="10" t="s">
        <v>86</v>
      </c>
      <c r="B230" s="10"/>
      <c r="C230" s="10" t="s">
        <v>206</v>
      </c>
      <c r="D230" s="10" t="s">
        <v>443</v>
      </c>
      <c r="E230" s="10" t="s">
        <v>536</v>
      </c>
      <c r="F230" s="32">
        <v>50</v>
      </c>
      <c r="G230" s="32">
        <v>0</v>
      </c>
      <c r="H230" s="32">
        <f>F230*AE230</f>
        <v>0</v>
      </c>
      <c r="I230" s="32">
        <f>J230-H230</f>
        <v>0</v>
      </c>
      <c r="J230" s="32">
        <f>F230*G230</f>
        <v>0</v>
      </c>
      <c r="K230" s="32">
        <v>0</v>
      </c>
      <c r="L230" s="32">
        <f>F230*K230</f>
        <v>0</v>
      </c>
      <c r="M230" s="54" t="s">
        <v>557</v>
      </c>
      <c r="P230" s="57">
        <f>IF(AG230="5",J230,0)</f>
        <v>0</v>
      </c>
      <c r="R230" s="57">
        <f>IF(AG230="1",H230,0)</f>
        <v>0</v>
      </c>
      <c r="S230" s="57">
        <f>IF(AG230="1",I230,0)</f>
        <v>0</v>
      </c>
      <c r="T230" s="57">
        <f>IF(AG230="7",H230,0)</f>
        <v>0</v>
      </c>
      <c r="U230" s="57">
        <f>IF(AG230="7",I230,0)</f>
        <v>0</v>
      </c>
      <c r="V230" s="57">
        <f>IF(AG230="2",H230,0)</f>
        <v>0</v>
      </c>
      <c r="W230" s="57">
        <f>IF(AG230="2",I230,0)</f>
        <v>0</v>
      </c>
      <c r="X230" s="57">
        <f>IF(AG230="0",J230,0)</f>
        <v>0</v>
      </c>
      <c r="Y230" s="48"/>
      <c r="Z230" s="32">
        <f>IF(AD230=0,J230,0)</f>
        <v>0</v>
      </c>
      <c r="AA230" s="32">
        <f>IF(AD230=15,J230,0)</f>
        <v>0</v>
      </c>
      <c r="AB230" s="32">
        <f>IF(AD230=21,J230,0)</f>
        <v>0</v>
      </c>
      <c r="AD230" s="57">
        <v>21</v>
      </c>
      <c r="AE230" s="57">
        <f>G230*0</f>
        <v>0</v>
      </c>
      <c r="AF230" s="57">
        <f>G230*(1-0)</f>
        <v>0</v>
      </c>
      <c r="AG230" s="54" t="s">
        <v>7</v>
      </c>
      <c r="AM230" s="57">
        <f>F230*AE230</f>
        <v>0</v>
      </c>
      <c r="AN230" s="57">
        <f>F230*AF230</f>
        <v>0</v>
      </c>
      <c r="AO230" s="58" t="s">
        <v>584</v>
      </c>
      <c r="AP230" s="58" t="s">
        <v>599</v>
      </c>
      <c r="AQ230" s="48" t="s">
        <v>600</v>
      </c>
      <c r="AS230" s="57">
        <f>AM230+AN230</f>
        <v>0</v>
      </c>
      <c r="AT230" s="57">
        <f>G230/(100-AU230)*100</f>
        <v>0</v>
      </c>
      <c r="AU230" s="57">
        <v>0</v>
      </c>
      <c r="AV230" s="57">
        <f>L230</f>
        <v>0</v>
      </c>
    </row>
    <row r="231" spans="4:6" ht="12.75">
      <c r="D231" s="27" t="s">
        <v>56</v>
      </c>
      <c r="F231" s="33">
        <v>50</v>
      </c>
    </row>
    <row r="232" spans="1:37" ht="12.75">
      <c r="A232" s="11"/>
      <c r="B232" s="23"/>
      <c r="C232" s="23" t="s">
        <v>100</v>
      </c>
      <c r="D232" s="23" t="s">
        <v>444</v>
      </c>
      <c r="E232" s="11" t="s">
        <v>6</v>
      </c>
      <c r="F232" s="11" t="s">
        <v>6</v>
      </c>
      <c r="G232" s="11" t="s">
        <v>6</v>
      </c>
      <c r="H232" s="60">
        <f>SUM(H233:H242)</f>
        <v>0</v>
      </c>
      <c r="I232" s="60">
        <f>SUM(I233:I242)</f>
        <v>0</v>
      </c>
      <c r="J232" s="60">
        <f>H232+I232</f>
        <v>0</v>
      </c>
      <c r="K232" s="48"/>
      <c r="L232" s="60">
        <f>SUM(L233:L242)</f>
        <v>4.878748000000001</v>
      </c>
      <c r="M232" s="48"/>
      <c r="Y232" s="48"/>
      <c r="AI232" s="60">
        <f>SUM(Z233:Z242)</f>
        <v>0</v>
      </c>
      <c r="AJ232" s="60">
        <f>SUM(AA233:AA242)</f>
        <v>0</v>
      </c>
      <c r="AK232" s="60">
        <f>SUM(AB233:AB242)</f>
        <v>0</v>
      </c>
    </row>
    <row r="233" spans="1:48" ht="12.75">
      <c r="A233" s="10" t="s">
        <v>87</v>
      </c>
      <c r="B233" s="10"/>
      <c r="C233" s="10" t="s">
        <v>207</v>
      </c>
      <c r="D233" s="10" t="s">
        <v>445</v>
      </c>
      <c r="E233" s="10" t="s">
        <v>531</v>
      </c>
      <c r="F233" s="32">
        <v>248</v>
      </c>
      <c r="G233" s="32">
        <v>0</v>
      </c>
      <c r="H233" s="32">
        <f>F233*AE233</f>
        <v>0</v>
      </c>
      <c r="I233" s="32">
        <f>J233-H233</f>
        <v>0</v>
      </c>
      <c r="J233" s="32">
        <f>F233*G233</f>
        <v>0</v>
      </c>
      <c r="K233" s="32">
        <v>0.01838</v>
      </c>
      <c r="L233" s="32">
        <f>F233*K233</f>
        <v>4.5582400000000005</v>
      </c>
      <c r="M233" s="54" t="s">
        <v>557</v>
      </c>
      <c r="P233" s="57">
        <f>IF(AG233="5",J233,0)</f>
        <v>0</v>
      </c>
      <c r="R233" s="57">
        <f>IF(AG233="1",H233,0)</f>
        <v>0</v>
      </c>
      <c r="S233" s="57">
        <f>IF(AG233="1",I233,0)</f>
        <v>0</v>
      </c>
      <c r="T233" s="57">
        <f>IF(AG233="7",H233,0)</f>
        <v>0</v>
      </c>
      <c r="U233" s="57">
        <f>IF(AG233="7",I233,0)</f>
        <v>0</v>
      </c>
      <c r="V233" s="57">
        <f>IF(AG233="2",H233,0)</f>
        <v>0</v>
      </c>
      <c r="W233" s="57">
        <f>IF(AG233="2",I233,0)</f>
        <v>0</v>
      </c>
      <c r="X233" s="57">
        <f>IF(AG233="0",J233,0)</f>
        <v>0</v>
      </c>
      <c r="Y233" s="48"/>
      <c r="Z233" s="32">
        <f>IF(AD233=0,J233,0)</f>
        <v>0</v>
      </c>
      <c r="AA233" s="32">
        <f>IF(AD233=15,J233,0)</f>
        <v>0</v>
      </c>
      <c r="AB233" s="32">
        <f>IF(AD233=21,J233,0)</f>
        <v>0</v>
      </c>
      <c r="AD233" s="57">
        <v>21</v>
      </c>
      <c r="AE233" s="57">
        <f>G233*0.000531914893617021</f>
        <v>0</v>
      </c>
      <c r="AF233" s="57">
        <f>G233*(1-0.000531914893617021)</f>
        <v>0</v>
      </c>
      <c r="AG233" s="54" t="s">
        <v>7</v>
      </c>
      <c r="AM233" s="57">
        <f>F233*AE233</f>
        <v>0</v>
      </c>
      <c r="AN233" s="57">
        <f>F233*AF233</f>
        <v>0</v>
      </c>
      <c r="AO233" s="58" t="s">
        <v>585</v>
      </c>
      <c r="AP233" s="58" t="s">
        <v>599</v>
      </c>
      <c r="AQ233" s="48" t="s">
        <v>600</v>
      </c>
      <c r="AS233" s="57">
        <f>AM233+AN233</f>
        <v>0</v>
      </c>
      <c r="AT233" s="57">
        <f>G233/(100-AU233)*100</f>
        <v>0</v>
      </c>
      <c r="AU233" s="57">
        <v>0</v>
      </c>
      <c r="AV233" s="57">
        <f>L233</f>
        <v>4.5582400000000005</v>
      </c>
    </row>
    <row r="234" spans="4:6" ht="12.75">
      <c r="D234" s="27" t="s">
        <v>446</v>
      </c>
      <c r="F234" s="33">
        <v>176</v>
      </c>
    </row>
    <row r="235" spans="4:6" ht="12.75">
      <c r="D235" s="27" t="s">
        <v>447</v>
      </c>
      <c r="F235" s="33">
        <v>72</v>
      </c>
    </row>
    <row r="236" spans="1:48" ht="12.75">
      <c r="A236" s="10" t="s">
        <v>88</v>
      </c>
      <c r="B236" s="10"/>
      <c r="C236" s="10" t="s">
        <v>208</v>
      </c>
      <c r="D236" s="10" t="s">
        <v>448</v>
      </c>
      <c r="E236" s="10" t="s">
        <v>531</v>
      </c>
      <c r="F236" s="32">
        <v>248</v>
      </c>
      <c r="G236" s="32">
        <v>0</v>
      </c>
      <c r="H236" s="32">
        <f>F236*AE236</f>
        <v>0</v>
      </c>
      <c r="I236" s="32">
        <f>J236-H236</f>
        <v>0</v>
      </c>
      <c r="J236" s="32">
        <f>F236*G236</f>
        <v>0</v>
      </c>
      <c r="K236" s="32">
        <v>0.00097</v>
      </c>
      <c r="L236" s="32">
        <f>F236*K236</f>
        <v>0.24056000000000002</v>
      </c>
      <c r="M236" s="54" t="s">
        <v>557</v>
      </c>
      <c r="P236" s="57">
        <f>IF(AG236="5",J236,0)</f>
        <v>0</v>
      </c>
      <c r="R236" s="57">
        <f>IF(AG236="1",H236,0)</f>
        <v>0</v>
      </c>
      <c r="S236" s="57">
        <f>IF(AG236="1",I236,0)</f>
        <v>0</v>
      </c>
      <c r="T236" s="57">
        <f>IF(AG236="7",H236,0)</f>
        <v>0</v>
      </c>
      <c r="U236" s="57">
        <f>IF(AG236="7",I236,0)</f>
        <v>0</v>
      </c>
      <c r="V236" s="57">
        <f>IF(AG236="2",H236,0)</f>
        <v>0</v>
      </c>
      <c r="W236" s="57">
        <f>IF(AG236="2",I236,0)</f>
        <v>0</v>
      </c>
      <c r="X236" s="57">
        <f>IF(AG236="0",J236,0)</f>
        <v>0</v>
      </c>
      <c r="Y236" s="48"/>
      <c r="Z236" s="32">
        <f>IF(AD236=0,J236,0)</f>
        <v>0</v>
      </c>
      <c r="AA236" s="32">
        <f>IF(AD236=15,J236,0)</f>
        <v>0</v>
      </c>
      <c r="AB236" s="32">
        <f>IF(AD236=21,J236,0)</f>
        <v>0</v>
      </c>
      <c r="AD236" s="57">
        <v>21</v>
      </c>
      <c r="AE236" s="57">
        <f>G236*0.939318885448916</f>
        <v>0</v>
      </c>
      <c r="AF236" s="57">
        <f>G236*(1-0.939318885448916)</f>
        <v>0</v>
      </c>
      <c r="AG236" s="54" t="s">
        <v>7</v>
      </c>
      <c r="AM236" s="57">
        <f>F236*AE236</f>
        <v>0</v>
      </c>
      <c r="AN236" s="57">
        <f>F236*AF236</f>
        <v>0</v>
      </c>
      <c r="AO236" s="58" t="s">
        <v>585</v>
      </c>
      <c r="AP236" s="58" t="s">
        <v>599</v>
      </c>
      <c r="AQ236" s="48" t="s">
        <v>600</v>
      </c>
      <c r="AS236" s="57">
        <f>AM236+AN236</f>
        <v>0</v>
      </c>
      <c r="AT236" s="57">
        <f>G236/(100-AU236)*100</f>
        <v>0</v>
      </c>
      <c r="AU236" s="57">
        <v>0</v>
      </c>
      <c r="AV236" s="57">
        <f>L236</f>
        <v>0.24056000000000002</v>
      </c>
    </row>
    <row r="237" spans="4:6" ht="12.75">
      <c r="D237" s="27" t="s">
        <v>449</v>
      </c>
      <c r="F237" s="33">
        <v>248</v>
      </c>
    </row>
    <row r="238" spans="1:48" ht="12.75">
      <c r="A238" s="10" t="s">
        <v>89</v>
      </c>
      <c r="B238" s="10"/>
      <c r="C238" s="10" t="s">
        <v>209</v>
      </c>
      <c r="D238" s="10" t="s">
        <v>450</v>
      </c>
      <c r="E238" s="10" t="s">
        <v>531</v>
      </c>
      <c r="F238" s="32">
        <v>248</v>
      </c>
      <c r="G238" s="32">
        <v>0</v>
      </c>
      <c r="H238" s="32">
        <f>F238*AE238</f>
        <v>0</v>
      </c>
      <c r="I238" s="32">
        <f>J238-H238</f>
        <v>0</v>
      </c>
      <c r="J238" s="32">
        <f>F238*G238</f>
        <v>0</v>
      </c>
      <c r="K238" s="32">
        <v>0</v>
      </c>
      <c r="L238" s="32">
        <f>F238*K238</f>
        <v>0</v>
      </c>
      <c r="M238" s="54" t="s">
        <v>557</v>
      </c>
      <c r="P238" s="57">
        <f>IF(AG238="5",J238,0)</f>
        <v>0</v>
      </c>
      <c r="R238" s="57">
        <f>IF(AG238="1",H238,0)</f>
        <v>0</v>
      </c>
      <c r="S238" s="57">
        <f>IF(AG238="1",I238,0)</f>
        <v>0</v>
      </c>
      <c r="T238" s="57">
        <f>IF(AG238="7",H238,0)</f>
        <v>0</v>
      </c>
      <c r="U238" s="57">
        <f>IF(AG238="7",I238,0)</f>
        <v>0</v>
      </c>
      <c r="V238" s="57">
        <f>IF(AG238="2",H238,0)</f>
        <v>0</v>
      </c>
      <c r="W238" s="57">
        <f>IF(AG238="2",I238,0)</f>
        <v>0</v>
      </c>
      <c r="X238" s="57">
        <f>IF(AG238="0",J238,0)</f>
        <v>0</v>
      </c>
      <c r="Y238" s="48"/>
      <c r="Z238" s="32">
        <f>IF(AD238=0,J238,0)</f>
        <v>0</v>
      </c>
      <c r="AA238" s="32">
        <f>IF(AD238=15,J238,0)</f>
        <v>0</v>
      </c>
      <c r="AB238" s="32">
        <f>IF(AD238=21,J238,0)</f>
        <v>0</v>
      </c>
      <c r="AD238" s="57">
        <v>21</v>
      </c>
      <c r="AE238" s="57">
        <f>G238*0</f>
        <v>0</v>
      </c>
      <c r="AF238" s="57">
        <f>G238*(1-0)</f>
        <v>0</v>
      </c>
      <c r="AG238" s="54" t="s">
        <v>7</v>
      </c>
      <c r="AM238" s="57">
        <f>F238*AE238</f>
        <v>0</v>
      </c>
      <c r="AN238" s="57">
        <f>F238*AF238</f>
        <v>0</v>
      </c>
      <c r="AO238" s="58" t="s">
        <v>585</v>
      </c>
      <c r="AP238" s="58" t="s">
        <v>599</v>
      </c>
      <c r="AQ238" s="48" t="s">
        <v>600</v>
      </c>
      <c r="AS238" s="57">
        <f>AM238+AN238</f>
        <v>0</v>
      </c>
      <c r="AT238" s="57">
        <f>G238/(100-AU238)*100</f>
        <v>0</v>
      </c>
      <c r="AU238" s="57">
        <v>0</v>
      </c>
      <c r="AV238" s="57">
        <f>L238</f>
        <v>0</v>
      </c>
    </row>
    <row r="239" spans="4:6" ht="12.75">
      <c r="D239" s="27" t="s">
        <v>449</v>
      </c>
      <c r="F239" s="33">
        <v>248</v>
      </c>
    </row>
    <row r="240" spans="1:48" ht="12.75">
      <c r="A240" s="10" t="s">
        <v>90</v>
      </c>
      <c r="B240" s="10"/>
      <c r="C240" s="10" t="s">
        <v>210</v>
      </c>
      <c r="D240" s="10" t="s">
        <v>451</v>
      </c>
      <c r="E240" s="10" t="s">
        <v>529</v>
      </c>
      <c r="F240" s="32">
        <v>4.879</v>
      </c>
      <c r="G240" s="32">
        <v>0</v>
      </c>
      <c r="H240" s="32">
        <f>F240*AE240</f>
        <v>0</v>
      </c>
      <c r="I240" s="32">
        <f>J240-H240</f>
        <v>0</v>
      </c>
      <c r="J240" s="32">
        <f>F240*G240</f>
        <v>0</v>
      </c>
      <c r="K240" s="32">
        <v>0</v>
      </c>
      <c r="L240" s="32">
        <f>F240*K240</f>
        <v>0</v>
      </c>
      <c r="M240" s="54" t="s">
        <v>557</v>
      </c>
      <c r="P240" s="57">
        <f>IF(AG240="5",J240,0)</f>
        <v>0</v>
      </c>
      <c r="R240" s="57">
        <f>IF(AG240="1",H240,0)</f>
        <v>0</v>
      </c>
      <c r="S240" s="57">
        <f>IF(AG240="1",I240,0)</f>
        <v>0</v>
      </c>
      <c r="T240" s="57">
        <f>IF(AG240="7",H240,0)</f>
        <v>0</v>
      </c>
      <c r="U240" s="57">
        <f>IF(AG240="7",I240,0)</f>
        <v>0</v>
      </c>
      <c r="V240" s="57">
        <f>IF(AG240="2",H240,0)</f>
        <v>0</v>
      </c>
      <c r="W240" s="57">
        <f>IF(AG240="2",I240,0)</f>
        <v>0</v>
      </c>
      <c r="X240" s="57">
        <f>IF(AG240="0",J240,0)</f>
        <v>0</v>
      </c>
      <c r="Y240" s="48"/>
      <c r="Z240" s="32">
        <f>IF(AD240=0,J240,0)</f>
        <v>0</v>
      </c>
      <c r="AA240" s="32">
        <f>IF(AD240=15,J240,0)</f>
        <v>0</v>
      </c>
      <c r="AB240" s="32">
        <f>IF(AD240=21,J240,0)</f>
        <v>0</v>
      </c>
      <c r="AD240" s="57">
        <v>21</v>
      </c>
      <c r="AE240" s="57">
        <f>G240*0</f>
        <v>0</v>
      </c>
      <c r="AF240" s="57">
        <f>G240*(1-0)</f>
        <v>0</v>
      </c>
      <c r="AG240" s="54" t="s">
        <v>11</v>
      </c>
      <c r="AM240" s="57">
        <f>F240*AE240</f>
        <v>0</v>
      </c>
      <c r="AN240" s="57">
        <f>F240*AF240</f>
        <v>0</v>
      </c>
      <c r="AO240" s="58" t="s">
        <v>585</v>
      </c>
      <c r="AP240" s="58" t="s">
        <v>599</v>
      </c>
      <c r="AQ240" s="48" t="s">
        <v>600</v>
      </c>
      <c r="AS240" s="57">
        <f>AM240+AN240</f>
        <v>0</v>
      </c>
      <c r="AT240" s="57">
        <f>G240/(100-AU240)*100</f>
        <v>0</v>
      </c>
      <c r="AU240" s="57">
        <v>0</v>
      </c>
      <c r="AV240" s="57">
        <f>L240</f>
        <v>0</v>
      </c>
    </row>
    <row r="241" spans="4:6" ht="12.75">
      <c r="D241" s="27" t="s">
        <v>452</v>
      </c>
      <c r="F241" s="33">
        <v>4.879</v>
      </c>
    </row>
    <row r="242" spans="1:48" ht="12.75">
      <c r="A242" s="10" t="s">
        <v>91</v>
      </c>
      <c r="B242" s="10"/>
      <c r="C242" s="10" t="s">
        <v>211</v>
      </c>
      <c r="D242" s="10" t="s">
        <v>453</v>
      </c>
      <c r="E242" s="10" t="s">
        <v>531</v>
      </c>
      <c r="F242" s="32">
        <v>50.6</v>
      </c>
      <c r="G242" s="32">
        <v>0</v>
      </c>
      <c r="H242" s="32">
        <f>F242*AE242</f>
        <v>0</v>
      </c>
      <c r="I242" s="32">
        <f>J242-H242</f>
        <v>0</v>
      </c>
      <c r="J242" s="32">
        <f>F242*G242</f>
        <v>0</v>
      </c>
      <c r="K242" s="32">
        <v>0.00158</v>
      </c>
      <c r="L242" s="32">
        <f>F242*K242</f>
        <v>0.079948</v>
      </c>
      <c r="M242" s="54" t="s">
        <v>557</v>
      </c>
      <c r="P242" s="57">
        <f>IF(AG242="5",J242,0)</f>
        <v>0</v>
      </c>
      <c r="R242" s="57">
        <f>IF(AG242="1",H242,0)</f>
        <v>0</v>
      </c>
      <c r="S242" s="57">
        <f>IF(AG242="1",I242,0)</f>
        <v>0</v>
      </c>
      <c r="T242" s="57">
        <f>IF(AG242="7",H242,0)</f>
        <v>0</v>
      </c>
      <c r="U242" s="57">
        <f>IF(AG242="7",I242,0)</f>
        <v>0</v>
      </c>
      <c r="V242" s="57">
        <f>IF(AG242="2",H242,0)</f>
        <v>0</v>
      </c>
      <c r="W242" s="57">
        <f>IF(AG242="2",I242,0)</f>
        <v>0</v>
      </c>
      <c r="X242" s="57">
        <f>IF(AG242="0",J242,0)</f>
        <v>0</v>
      </c>
      <c r="Y242" s="48"/>
      <c r="Z242" s="32">
        <f>IF(AD242=0,J242,0)</f>
        <v>0</v>
      </c>
      <c r="AA242" s="32">
        <f>IF(AD242=15,J242,0)</f>
        <v>0</v>
      </c>
      <c r="AB242" s="32">
        <f>IF(AD242=21,J242,0)</f>
        <v>0</v>
      </c>
      <c r="AD242" s="57">
        <v>21</v>
      </c>
      <c r="AE242" s="57">
        <f>G242*0.401503873690824</f>
        <v>0</v>
      </c>
      <c r="AF242" s="57">
        <f>G242*(1-0.401503873690824)</f>
        <v>0</v>
      </c>
      <c r="AG242" s="54" t="s">
        <v>7</v>
      </c>
      <c r="AM242" s="57">
        <f>F242*AE242</f>
        <v>0</v>
      </c>
      <c r="AN242" s="57">
        <f>F242*AF242</f>
        <v>0</v>
      </c>
      <c r="AO242" s="58" t="s">
        <v>585</v>
      </c>
      <c r="AP242" s="58" t="s">
        <v>599</v>
      </c>
      <c r="AQ242" s="48" t="s">
        <v>600</v>
      </c>
      <c r="AS242" s="57">
        <f>AM242+AN242</f>
        <v>0</v>
      </c>
      <c r="AT242" s="57">
        <f>G242/(100-AU242)*100</f>
        <v>0</v>
      </c>
      <c r="AU242" s="57">
        <v>0</v>
      </c>
      <c r="AV242" s="57">
        <f>L242</f>
        <v>0.079948</v>
      </c>
    </row>
    <row r="243" spans="4:6" ht="12.75">
      <c r="D243" s="27" t="s">
        <v>454</v>
      </c>
      <c r="F243" s="33">
        <v>50.6</v>
      </c>
    </row>
    <row r="244" spans="1:37" ht="12.75">
      <c r="A244" s="11"/>
      <c r="B244" s="23"/>
      <c r="C244" s="23" t="s">
        <v>102</v>
      </c>
      <c r="D244" s="23" t="s">
        <v>455</v>
      </c>
      <c r="E244" s="11" t="s">
        <v>6</v>
      </c>
      <c r="F244" s="11" t="s">
        <v>6</v>
      </c>
      <c r="G244" s="11" t="s">
        <v>6</v>
      </c>
      <c r="H244" s="60">
        <f>SUM(H245:H263)</f>
        <v>0</v>
      </c>
      <c r="I244" s="60">
        <f>SUM(I245:I263)</f>
        <v>0</v>
      </c>
      <c r="J244" s="60">
        <f>H244+I244</f>
        <v>0</v>
      </c>
      <c r="K244" s="48"/>
      <c r="L244" s="60">
        <f>SUM(L245:L263)</f>
        <v>6.3862983600000005</v>
      </c>
      <c r="M244" s="48"/>
      <c r="Y244" s="48"/>
      <c r="AI244" s="60">
        <f>SUM(Z245:Z263)</f>
        <v>0</v>
      </c>
      <c r="AJ244" s="60">
        <f>SUM(AA245:AA263)</f>
        <v>0</v>
      </c>
      <c r="AK244" s="60">
        <f>SUM(AB245:AB263)</f>
        <v>0</v>
      </c>
    </row>
    <row r="245" spans="1:48" ht="12.75">
      <c r="A245" s="10" t="s">
        <v>92</v>
      </c>
      <c r="B245" s="10"/>
      <c r="C245" s="10" t="s">
        <v>212</v>
      </c>
      <c r="D245" s="10" t="s">
        <v>456</v>
      </c>
      <c r="E245" s="10" t="s">
        <v>531</v>
      </c>
      <c r="F245" s="32">
        <v>79.236</v>
      </c>
      <c r="G245" s="32">
        <v>0</v>
      </c>
      <c r="H245" s="32">
        <f>F245*AE245</f>
        <v>0</v>
      </c>
      <c r="I245" s="32">
        <f>J245-H245</f>
        <v>0</v>
      </c>
      <c r="J245" s="32">
        <f>F245*G245</f>
        <v>0</v>
      </c>
      <c r="K245" s="32">
        <v>0.00067</v>
      </c>
      <c r="L245" s="32">
        <f>F245*K245</f>
        <v>0.05308812</v>
      </c>
      <c r="M245" s="54" t="s">
        <v>557</v>
      </c>
      <c r="P245" s="57">
        <f>IF(AG245="5",J245,0)</f>
        <v>0</v>
      </c>
      <c r="R245" s="57">
        <f>IF(AG245="1",H245,0)</f>
        <v>0</v>
      </c>
      <c r="S245" s="57">
        <f>IF(AG245="1",I245,0)</f>
        <v>0</v>
      </c>
      <c r="T245" s="57">
        <f>IF(AG245="7",H245,0)</f>
        <v>0</v>
      </c>
      <c r="U245" s="57">
        <f>IF(AG245="7",I245,0)</f>
        <v>0</v>
      </c>
      <c r="V245" s="57">
        <f>IF(AG245="2",H245,0)</f>
        <v>0</v>
      </c>
      <c r="W245" s="57">
        <f>IF(AG245="2",I245,0)</f>
        <v>0</v>
      </c>
      <c r="X245" s="57">
        <f>IF(AG245="0",J245,0)</f>
        <v>0</v>
      </c>
      <c r="Y245" s="48"/>
      <c r="Z245" s="32">
        <f>IF(AD245=0,J245,0)</f>
        <v>0</v>
      </c>
      <c r="AA245" s="32">
        <f>IF(AD245=15,J245,0)</f>
        <v>0</v>
      </c>
      <c r="AB245" s="32">
        <f>IF(AD245=21,J245,0)</f>
        <v>0</v>
      </c>
      <c r="AD245" s="57">
        <v>21</v>
      </c>
      <c r="AE245" s="57">
        <f>G245*0.152322369003914</f>
        <v>0</v>
      </c>
      <c r="AF245" s="57">
        <f>G245*(1-0.152322369003914)</f>
        <v>0</v>
      </c>
      <c r="AG245" s="54" t="s">
        <v>7</v>
      </c>
      <c r="AM245" s="57">
        <f>F245*AE245</f>
        <v>0</v>
      </c>
      <c r="AN245" s="57">
        <f>F245*AF245</f>
        <v>0</v>
      </c>
      <c r="AO245" s="58" t="s">
        <v>586</v>
      </c>
      <c r="AP245" s="58" t="s">
        <v>599</v>
      </c>
      <c r="AQ245" s="48" t="s">
        <v>600</v>
      </c>
      <c r="AS245" s="57">
        <f>AM245+AN245</f>
        <v>0</v>
      </c>
      <c r="AT245" s="57">
        <f>G245/(100-AU245)*100</f>
        <v>0</v>
      </c>
      <c r="AU245" s="57">
        <v>0</v>
      </c>
      <c r="AV245" s="57">
        <f>L245</f>
        <v>0.05308812</v>
      </c>
    </row>
    <row r="246" spans="4:6" ht="12.75">
      <c r="D246" s="27" t="s">
        <v>457</v>
      </c>
      <c r="F246" s="33">
        <v>79.236</v>
      </c>
    </row>
    <row r="247" spans="1:48" ht="12.75">
      <c r="A247" s="10" t="s">
        <v>93</v>
      </c>
      <c r="B247" s="10"/>
      <c r="C247" s="10" t="s">
        <v>213</v>
      </c>
      <c r="D247" s="10" t="s">
        <v>458</v>
      </c>
      <c r="E247" s="10" t="s">
        <v>531</v>
      </c>
      <c r="F247" s="32">
        <v>51.972</v>
      </c>
      <c r="G247" s="32">
        <v>0</v>
      </c>
      <c r="H247" s="32">
        <f>F247*AE247</f>
        <v>0</v>
      </c>
      <c r="I247" s="32">
        <f>J247-H247</f>
        <v>0</v>
      </c>
      <c r="J247" s="32">
        <f>F247*G247</f>
        <v>0</v>
      </c>
      <c r="K247" s="32">
        <v>0.05567</v>
      </c>
      <c r="L247" s="32">
        <f>F247*K247</f>
        <v>2.89328124</v>
      </c>
      <c r="M247" s="54" t="s">
        <v>557</v>
      </c>
      <c r="P247" s="57">
        <f>IF(AG247="5",J247,0)</f>
        <v>0</v>
      </c>
      <c r="R247" s="57">
        <f>IF(AG247="1",H247,0)</f>
        <v>0</v>
      </c>
      <c r="S247" s="57">
        <f>IF(AG247="1",I247,0)</f>
        <v>0</v>
      </c>
      <c r="T247" s="57">
        <f>IF(AG247="7",H247,0)</f>
        <v>0</v>
      </c>
      <c r="U247" s="57">
        <f>IF(AG247="7",I247,0)</f>
        <v>0</v>
      </c>
      <c r="V247" s="57">
        <f>IF(AG247="2",H247,0)</f>
        <v>0</v>
      </c>
      <c r="W247" s="57">
        <f>IF(AG247="2",I247,0)</f>
        <v>0</v>
      </c>
      <c r="X247" s="57">
        <f>IF(AG247="0",J247,0)</f>
        <v>0</v>
      </c>
      <c r="Y247" s="48"/>
      <c r="Z247" s="32">
        <f>IF(AD247=0,J247,0)</f>
        <v>0</v>
      </c>
      <c r="AA247" s="32">
        <f>IF(AD247=15,J247,0)</f>
        <v>0</v>
      </c>
      <c r="AB247" s="32">
        <f>IF(AD247=21,J247,0)</f>
        <v>0</v>
      </c>
      <c r="AD247" s="57">
        <v>21</v>
      </c>
      <c r="AE247" s="57">
        <f>G247*0.122316675011924</f>
        <v>0</v>
      </c>
      <c r="AF247" s="57">
        <f>G247*(1-0.122316675011924)</f>
        <v>0</v>
      </c>
      <c r="AG247" s="54" t="s">
        <v>7</v>
      </c>
      <c r="AM247" s="57">
        <f>F247*AE247</f>
        <v>0</v>
      </c>
      <c r="AN247" s="57">
        <f>F247*AF247</f>
        <v>0</v>
      </c>
      <c r="AO247" s="58" t="s">
        <v>586</v>
      </c>
      <c r="AP247" s="58" t="s">
        <v>599</v>
      </c>
      <c r="AQ247" s="48" t="s">
        <v>600</v>
      </c>
      <c r="AS247" s="57">
        <f>AM247+AN247</f>
        <v>0</v>
      </c>
      <c r="AT247" s="57">
        <f>G247/(100-AU247)*100</f>
        <v>0</v>
      </c>
      <c r="AU247" s="57">
        <v>0</v>
      </c>
      <c r="AV247" s="57">
        <f>L247</f>
        <v>2.89328124</v>
      </c>
    </row>
    <row r="248" spans="4:6" ht="12.75">
      <c r="D248" s="27" t="s">
        <v>459</v>
      </c>
      <c r="F248" s="33">
        <v>51.972</v>
      </c>
    </row>
    <row r="249" spans="4:6" ht="12.75">
      <c r="D249" s="27" t="s">
        <v>460</v>
      </c>
      <c r="F249" s="33">
        <v>-8</v>
      </c>
    </row>
    <row r="250" spans="4:6" ht="12.75">
      <c r="D250" s="27" t="s">
        <v>461</v>
      </c>
      <c r="F250" s="33">
        <v>8</v>
      </c>
    </row>
    <row r="251" spans="1:48" ht="12.75">
      <c r="A251" s="10" t="s">
        <v>94</v>
      </c>
      <c r="B251" s="10"/>
      <c r="C251" s="10" t="s">
        <v>214</v>
      </c>
      <c r="D251" s="10" t="s">
        <v>462</v>
      </c>
      <c r="E251" s="10" t="s">
        <v>532</v>
      </c>
      <c r="F251" s="32">
        <v>72</v>
      </c>
      <c r="G251" s="32">
        <v>0</v>
      </c>
      <c r="H251" s="32">
        <f>F251*AE251</f>
        <v>0</v>
      </c>
      <c r="I251" s="32">
        <f>J251-H251</f>
        <v>0</v>
      </c>
      <c r="J251" s="32">
        <f>F251*G251</f>
        <v>0</v>
      </c>
      <c r="K251" s="32">
        <v>0</v>
      </c>
      <c r="L251" s="32">
        <f>F251*K251</f>
        <v>0</v>
      </c>
      <c r="M251" s="54" t="s">
        <v>557</v>
      </c>
      <c r="P251" s="57">
        <f>IF(AG251="5",J251,0)</f>
        <v>0</v>
      </c>
      <c r="R251" s="57">
        <f>IF(AG251="1",H251,0)</f>
        <v>0</v>
      </c>
      <c r="S251" s="57">
        <f>IF(AG251="1",I251,0)</f>
        <v>0</v>
      </c>
      <c r="T251" s="57">
        <f>IF(AG251="7",H251,0)</f>
        <v>0</v>
      </c>
      <c r="U251" s="57">
        <f>IF(AG251="7",I251,0)</f>
        <v>0</v>
      </c>
      <c r="V251" s="57">
        <f>IF(AG251="2",H251,0)</f>
        <v>0</v>
      </c>
      <c r="W251" s="57">
        <f>IF(AG251="2",I251,0)</f>
        <v>0</v>
      </c>
      <c r="X251" s="57">
        <f>IF(AG251="0",J251,0)</f>
        <v>0</v>
      </c>
      <c r="Y251" s="48"/>
      <c r="Z251" s="32">
        <f>IF(AD251=0,J251,0)</f>
        <v>0</v>
      </c>
      <c r="AA251" s="32">
        <f>IF(AD251=15,J251,0)</f>
        <v>0</v>
      </c>
      <c r="AB251" s="32">
        <f>IF(AD251=21,J251,0)</f>
        <v>0</v>
      </c>
      <c r="AD251" s="57">
        <v>21</v>
      </c>
      <c r="AE251" s="57">
        <f>G251*0</f>
        <v>0</v>
      </c>
      <c r="AF251" s="57">
        <f>G251*(1-0)</f>
        <v>0</v>
      </c>
      <c r="AG251" s="54" t="s">
        <v>7</v>
      </c>
      <c r="AM251" s="57">
        <f>F251*AE251</f>
        <v>0</v>
      </c>
      <c r="AN251" s="57">
        <f>F251*AF251</f>
        <v>0</v>
      </c>
      <c r="AO251" s="58" t="s">
        <v>586</v>
      </c>
      <c r="AP251" s="58" t="s">
        <v>599</v>
      </c>
      <c r="AQ251" s="48" t="s">
        <v>600</v>
      </c>
      <c r="AS251" s="57">
        <f>AM251+AN251</f>
        <v>0</v>
      </c>
      <c r="AT251" s="57">
        <f>G251/(100-AU251)*100</f>
        <v>0</v>
      </c>
      <c r="AU251" s="57">
        <v>0</v>
      </c>
      <c r="AV251" s="57">
        <f>L251</f>
        <v>0</v>
      </c>
    </row>
    <row r="252" spans="4:6" ht="12.75">
      <c r="D252" s="27" t="s">
        <v>463</v>
      </c>
      <c r="F252" s="33">
        <v>16</v>
      </c>
    </row>
    <row r="253" spans="4:6" ht="12.75">
      <c r="D253" s="27" t="s">
        <v>464</v>
      </c>
      <c r="F253" s="33">
        <v>56</v>
      </c>
    </row>
    <row r="254" spans="1:48" ht="12.75">
      <c r="A254" s="10" t="s">
        <v>95</v>
      </c>
      <c r="B254" s="10"/>
      <c r="C254" s="10" t="s">
        <v>215</v>
      </c>
      <c r="D254" s="10" t="s">
        <v>465</v>
      </c>
      <c r="E254" s="10" t="s">
        <v>532</v>
      </c>
      <c r="F254" s="32">
        <v>12</v>
      </c>
      <c r="G254" s="32">
        <v>0</v>
      </c>
      <c r="H254" s="32">
        <f>F254*AE254</f>
        <v>0</v>
      </c>
      <c r="I254" s="32">
        <f>J254-H254</f>
        <v>0</v>
      </c>
      <c r="J254" s="32">
        <f>F254*G254</f>
        <v>0</v>
      </c>
      <c r="K254" s="32">
        <v>0</v>
      </c>
      <c r="L254" s="32">
        <f>F254*K254</f>
        <v>0</v>
      </c>
      <c r="M254" s="54" t="s">
        <v>557</v>
      </c>
      <c r="P254" s="57">
        <f>IF(AG254="5",J254,0)</f>
        <v>0</v>
      </c>
      <c r="R254" s="57">
        <f>IF(AG254="1",H254,0)</f>
        <v>0</v>
      </c>
      <c r="S254" s="57">
        <f>IF(AG254="1",I254,0)</f>
        <v>0</v>
      </c>
      <c r="T254" s="57">
        <f>IF(AG254="7",H254,0)</f>
        <v>0</v>
      </c>
      <c r="U254" s="57">
        <f>IF(AG254="7",I254,0)</f>
        <v>0</v>
      </c>
      <c r="V254" s="57">
        <f>IF(AG254="2",H254,0)</f>
        <v>0</v>
      </c>
      <c r="W254" s="57">
        <f>IF(AG254="2",I254,0)</f>
        <v>0</v>
      </c>
      <c r="X254" s="57">
        <f>IF(AG254="0",J254,0)</f>
        <v>0</v>
      </c>
      <c r="Y254" s="48"/>
      <c r="Z254" s="32">
        <f>IF(AD254=0,J254,0)</f>
        <v>0</v>
      </c>
      <c r="AA254" s="32">
        <f>IF(AD254=15,J254,0)</f>
        <v>0</v>
      </c>
      <c r="AB254" s="32">
        <f>IF(AD254=21,J254,0)</f>
        <v>0</v>
      </c>
      <c r="AD254" s="57">
        <v>21</v>
      </c>
      <c r="AE254" s="57">
        <f>G254*0</f>
        <v>0</v>
      </c>
      <c r="AF254" s="57">
        <f>G254*(1-0)</f>
        <v>0</v>
      </c>
      <c r="AG254" s="54" t="s">
        <v>7</v>
      </c>
      <c r="AM254" s="57">
        <f>F254*AE254</f>
        <v>0</v>
      </c>
      <c r="AN254" s="57">
        <f>F254*AF254</f>
        <v>0</v>
      </c>
      <c r="AO254" s="58" t="s">
        <v>586</v>
      </c>
      <c r="AP254" s="58" t="s">
        <v>599</v>
      </c>
      <c r="AQ254" s="48" t="s">
        <v>600</v>
      </c>
      <c r="AS254" s="57">
        <f>AM254+AN254</f>
        <v>0</v>
      </c>
      <c r="AT254" s="57">
        <f>G254/(100-AU254)*100</f>
        <v>0</v>
      </c>
      <c r="AU254" s="57">
        <v>0</v>
      </c>
      <c r="AV254" s="57">
        <f>L254</f>
        <v>0</v>
      </c>
    </row>
    <row r="255" spans="4:6" ht="12.75">
      <c r="D255" s="27" t="s">
        <v>466</v>
      </c>
      <c r="F255" s="33">
        <v>10</v>
      </c>
    </row>
    <row r="256" spans="4:6" ht="12.75">
      <c r="D256" s="27" t="s">
        <v>467</v>
      </c>
      <c r="F256" s="33">
        <v>2</v>
      </c>
    </row>
    <row r="257" spans="1:48" ht="12.75">
      <c r="A257" s="10" t="s">
        <v>96</v>
      </c>
      <c r="B257" s="10"/>
      <c r="C257" s="10" t="s">
        <v>216</v>
      </c>
      <c r="D257" s="10" t="s">
        <v>468</v>
      </c>
      <c r="E257" s="10" t="s">
        <v>531</v>
      </c>
      <c r="F257" s="32">
        <v>14.455</v>
      </c>
      <c r="G257" s="32">
        <v>0</v>
      </c>
      <c r="H257" s="32">
        <f>F257*AE257</f>
        <v>0</v>
      </c>
      <c r="I257" s="32">
        <f>J257-H257</f>
        <v>0</v>
      </c>
      <c r="J257" s="32">
        <f>F257*G257</f>
        <v>0</v>
      </c>
      <c r="K257" s="32">
        <v>0.063</v>
      </c>
      <c r="L257" s="32">
        <f>F257*K257</f>
        <v>0.9106650000000001</v>
      </c>
      <c r="M257" s="54" t="s">
        <v>557</v>
      </c>
      <c r="P257" s="57">
        <f>IF(AG257="5",J257,0)</f>
        <v>0</v>
      </c>
      <c r="R257" s="57">
        <f>IF(AG257="1",H257,0)</f>
        <v>0</v>
      </c>
      <c r="S257" s="57">
        <f>IF(AG257="1",I257,0)</f>
        <v>0</v>
      </c>
      <c r="T257" s="57">
        <f>IF(AG257="7",H257,0)</f>
        <v>0</v>
      </c>
      <c r="U257" s="57">
        <f>IF(AG257="7",I257,0)</f>
        <v>0</v>
      </c>
      <c r="V257" s="57">
        <f>IF(AG257="2",H257,0)</f>
        <v>0</v>
      </c>
      <c r="W257" s="57">
        <f>IF(AG257="2",I257,0)</f>
        <v>0</v>
      </c>
      <c r="X257" s="57">
        <f>IF(AG257="0",J257,0)</f>
        <v>0</v>
      </c>
      <c r="Y257" s="48"/>
      <c r="Z257" s="32">
        <f>IF(AD257=0,J257,0)</f>
        <v>0</v>
      </c>
      <c r="AA257" s="32">
        <f>IF(AD257=15,J257,0)</f>
        <v>0</v>
      </c>
      <c r="AB257" s="32">
        <f>IF(AD257=21,J257,0)</f>
        <v>0</v>
      </c>
      <c r="AD257" s="57">
        <v>21</v>
      </c>
      <c r="AE257" s="57">
        <f>G257*0.115587958718292</f>
        <v>0</v>
      </c>
      <c r="AF257" s="57">
        <f>G257*(1-0.115587958718292)</f>
        <v>0</v>
      </c>
      <c r="AG257" s="54" t="s">
        <v>7</v>
      </c>
      <c r="AM257" s="57">
        <f>F257*AE257</f>
        <v>0</v>
      </c>
      <c r="AN257" s="57">
        <f>F257*AF257</f>
        <v>0</v>
      </c>
      <c r="AO257" s="58" t="s">
        <v>586</v>
      </c>
      <c r="AP257" s="58" t="s">
        <v>599</v>
      </c>
      <c r="AQ257" s="48" t="s">
        <v>600</v>
      </c>
      <c r="AS257" s="57">
        <f>AM257+AN257</f>
        <v>0</v>
      </c>
      <c r="AT257" s="57">
        <f>G257/(100-AU257)*100</f>
        <v>0</v>
      </c>
      <c r="AU257" s="57">
        <v>0</v>
      </c>
      <c r="AV257" s="57">
        <f>L257</f>
        <v>0.9106650000000001</v>
      </c>
    </row>
    <row r="258" spans="4:6" ht="12.75">
      <c r="D258" s="27" t="s">
        <v>469</v>
      </c>
      <c r="F258" s="33">
        <v>14.455</v>
      </c>
    </row>
    <row r="259" spans="1:48" ht="12.75">
      <c r="A259" s="10" t="s">
        <v>97</v>
      </c>
      <c r="B259" s="10"/>
      <c r="C259" s="10" t="s">
        <v>217</v>
      </c>
      <c r="D259" s="10" t="s">
        <v>470</v>
      </c>
      <c r="E259" s="10" t="s">
        <v>531</v>
      </c>
      <c r="F259" s="32">
        <v>31.5</v>
      </c>
      <c r="G259" s="32">
        <v>0</v>
      </c>
      <c r="H259" s="32">
        <f>F259*AE259</f>
        <v>0</v>
      </c>
      <c r="I259" s="32">
        <f>J259-H259</f>
        <v>0</v>
      </c>
      <c r="J259" s="32">
        <f>F259*G259</f>
        <v>0</v>
      </c>
      <c r="K259" s="32">
        <v>0.032</v>
      </c>
      <c r="L259" s="32">
        <f>F259*K259</f>
        <v>1.008</v>
      </c>
      <c r="M259" s="54" t="s">
        <v>557</v>
      </c>
      <c r="P259" s="57">
        <f>IF(AG259="5",J259,0)</f>
        <v>0</v>
      </c>
      <c r="R259" s="57">
        <f>IF(AG259="1",H259,0)</f>
        <v>0</v>
      </c>
      <c r="S259" s="57">
        <f>IF(AG259="1",I259,0)</f>
        <v>0</v>
      </c>
      <c r="T259" s="57">
        <f>IF(AG259="7",H259,0)</f>
        <v>0</v>
      </c>
      <c r="U259" s="57">
        <f>IF(AG259="7",I259,0)</f>
        <v>0</v>
      </c>
      <c r="V259" s="57">
        <f>IF(AG259="2",H259,0)</f>
        <v>0</v>
      </c>
      <c r="W259" s="57">
        <f>IF(AG259="2",I259,0)</f>
        <v>0</v>
      </c>
      <c r="X259" s="57">
        <f>IF(AG259="0",J259,0)</f>
        <v>0</v>
      </c>
      <c r="Y259" s="48"/>
      <c r="Z259" s="32">
        <f>IF(AD259=0,J259,0)</f>
        <v>0</v>
      </c>
      <c r="AA259" s="32">
        <f>IF(AD259=15,J259,0)</f>
        <v>0</v>
      </c>
      <c r="AB259" s="32">
        <f>IF(AD259=21,J259,0)</f>
        <v>0</v>
      </c>
      <c r="AD259" s="57">
        <v>21</v>
      </c>
      <c r="AE259" s="57">
        <f>G259*0.192016129032258</f>
        <v>0</v>
      </c>
      <c r="AF259" s="57">
        <f>G259*(1-0.192016129032258)</f>
        <v>0</v>
      </c>
      <c r="AG259" s="54" t="s">
        <v>7</v>
      </c>
      <c r="AM259" s="57">
        <f>F259*AE259</f>
        <v>0</v>
      </c>
      <c r="AN259" s="57">
        <f>F259*AF259</f>
        <v>0</v>
      </c>
      <c r="AO259" s="58" t="s">
        <v>586</v>
      </c>
      <c r="AP259" s="58" t="s">
        <v>599</v>
      </c>
      <c r="AQ259" s="48" t="s">
        <v>600</v>
      </c>
      <c r="AS259" s="57">
        <f>AM259+AN259</f>
        <v>0</v>
      </c>
      <c r="AT259" s="57">
        <f>G259/(100-AU259)*100</f>
        <v>0</v>
      </c>
      <c r="AU259" s="57">
        <v>0</v>
      </c>
      <c r="AV259" s="57">
        <f>L259</f>
        <v>1.008</v>
      </c>
    </row>
    <row r="260" spans="4:6" ht="12.75">
      <c r="D260" s="27" t="s">
        <v>471</v>
      </c>
      <c r="F260" s="33">
        <v>31.5</v>
      </c>
    </row>
    <row r="261" spans="1:48" ht="12.75">
      <c r="A261" s="10" t="s">
        <v>98</v>
      </c>
      <c r="B261" s="10"/>
      <c r="C261" s="10" t="s">
        <v>218</v>
      </c>
      <c r="D261" s="10" t="s">
        <v>472</v>
      </c>
      <c r="E261" s="10" t="s">
        <v>531</v>
      </c>
      <c r="F261" s="32">
        <v>19.2</v>
      </c>
      <c r="G261" s="32">
        <v>0</v>
      </c>
      <c r="H261" s="32">
        <f>F261*AE261</f>
        <v>0</v>
      </c>
      <c r="I261" s="32">
        <f>J261-H261</f>
        <v>0</v>
      </c>
      <c r="J261" s="32">
        <f>F261*G261</f>
        <v>0</v>
      </c>
      <c r="K261" s="32">
        <v>0.07717</v>
      </c>
      <c r="L261" s="32">
        <f>F261*K261</f>
        <v>1.481664</v>
      </c>
      <c r="M261" s="54" t="s">
        <v>557</v>
      </c>
      <c r="P261" s="57">
        <f>IF(AG261="5",J261,0)</f>
        <v>0</v>
      </c>
      <c r="R261" s="57">
        <f>IF(AG261="1",H261,0)</f>
        <v>0</v>
      </c>
      <c r="S261" s="57">
        <f>IF(AG261="1",I261,0)</f>
        <v>0</v>
      </c>
      <c r="T261" s="57">
        <f>IF(AG261="7",H261,0)</f>
        <v>0</v>
      </c>
      <c r="U261" s="57">
        <f>IF(AG261="7",I261,0)</f>
        <v>0</v>
      </c>
      <c r="V261" s="57">
        <f>IF(AG261="2",H261,0)</f>
        <v>0</v>
      </c>
      <c r="W261" s="57">
        <f>IF(AG261="2",I261,0)</f>
        <v>0</v>
      </c>
      <c r="X261" s="57">
        <f>IF(AG261="0",J261,0)</f>
        <v>0</v>
      </c>
      <c r="Y261" s="48"/>
      <c r="Z261" s="32">
        <f>IF(AD261=0,J261,0)</f>
        <v>0</v>
      </c>
      <c r="AA261" s="32">
        <f>IF(AD261=15,J261,0)</f>
        <v>0</v>
      </c>
      <c r="AB261" s="32">
        <f>IF(AD261=21,J261,0)</f>
        <v>0</v>
      </c>
      <c r="AD261" s="57">
        <v>21</v>
      </c>
      <c r="AE261" s="57">
        <f>G261*0.0910101286893296</f>
        <v>0</v>
      </c>
      <c r="AF261" s="57">
        <f>G261*(1-0.0910101286893296)</f>
        <v>0</v>
      </c>
      <c r="AG261" s="54" t="s">
        <v>7</v>
      </c>
      <c r="AM261" s="57">
        <f>F261*AE261</f>
        <v>0</v>
      </c>
      <c r="AN261" s="57">
        <f>F261*AF261</f>
        <v>0</v>
      </c>
      <c r="AO261" s="58" t="s">
        <v>586</v>
      </c>
      <c r="AP261" s="58" t="s">
        <v>599</v>
      </c>
      <c r="AQ261" s="48" t="s">
        <v>600</v>
      </c>
      <c r="AS261" s="57">
        <f>AM261+AN261</f>
        <v>0</v>
      </c>
      <c r="AT261" s="57">
        <f>G261/(100-AU261)*100</f>
        <v>0</v>
      </c>
      <c r="AU261" s="57">
        <v>0</v>
      </c>
      <c r="AV261" s="57">
        <f>L261</f>
        <v>1.481664</v>
      </c>
    </row>
    <row r="262" spans="4:6" ht="12.75">
      <c r="D262" s="27" t="s">
        <v>473</v>
      </c>
      <c r="F262" s="33">
        <v>19.2</v>
      </c>
    </row>
    <row r="263" spans="1:48" ht="12.75">
      <c r="A263" s="10" t="s">
        <v>99</v>
      </c>
      <c r="B263" s="10"/>
      <c r="C263" s="10" t="s">
        <v>219</v>
      </c>
      <c r="D263" s="10" t="s">
        <v>474</v>
      </c>
      <c r="E263" s="10" t="s">
        <v>531</v>
      </c>
      <c r="F263" s="32">
        <v>0.72</v>
      </c>
      <c r="G263" s="32">
        <v>0</v>
      </c>
      <c r="H263" s="32">
        <f>F263*AE263</f>
        <v>0</v>
      </c>
      <c r="I263" s="32">
        <f>J263-H263</f>
        <v>0</v>
      </c>
      <c r="J263" s="32">
        <f>F263*G263</f>
        <v>0</v>
      </c>
      <c r="K263" s="32">
        <v>0.055</v>
      </c>
      <c r="L263" s="32">
        <f>F263*K263</f>
        <v>0.039599999999999996</v>
      </c>
      <c r="M263" s="54" t="s">
        <v>557</v>
      </c>
      <c r="P263" s="57">
        <f>IF(AG263="5",J263,0)</f>
        <v>0</v>
      </c>
      <c r="R263" s="57">
        <f>IF(AG263="1",H263,0)</f>
        <v>0</v>
      </c>
      <c r="S263" s="57">
        <f>IF(AG263="1",I263,0)</f>
        <v>0</v>
      </c>
      <c r="T263" s="57">
        <f>IF(AG263="7",H263,0)</f>
        <v>0</v>
      </c>
      <c r="U263" s="57">
        <f>IF(AG263="7",I263,0)</f>
        <v>0</v>
      </c>
      <c r="V263" s="57">
        <f>IF(AG263="2",H263,0)</f>
        <v>0</v>
      </c>
      <c r="W263" s="57">
        <f>IF(AG263="2",I263,0)</f>
        <v>0</v>
      </c>
      <c r="X263" s="57">
        <f>IF(AG263="0",J263,0)</f>
        <v>0</v>
      </c>
      <c r="Y263" s="48"/>
      <c r="Z263" s="32">
        <f>IF(AD263=0,J263,0)</f>
        <v>0</v>
      </c>
      <c r="AA263" s="32">
        <f>IF(AD263=15,J263,0)</f>
        <v>0</v>
      </c>
      <c r="AB263" s="32">
        <f>IF(AD263=21,J263,0)</f>
        <v>0</v>
      </c>
      <c r="AD263" s="57">
        <v>21</v>
      </c>
      <c r="AE263" s="57">
        <f>G263*0</f>
        <v>0</v>
      </c>
      <c r="AF263" s="57">
        <f>G263*(1-0)</f>
        <v>0</v>
      </c>
      <c r="AG263" s="54" t="s">
        <v>7</v>
      </c>
      <c r="AM263" s="57">
        <f>F263*AE263</f>
        <v>0</v>
      </c>
      <c r="AN263" s="57">
        <f>F263*AF263</f>
        <v>0</v>
      </c>
      <c r="AO263" s="58" t="s">
        <v>586</v>
      </c>
      <c r="AP263" s="58" t="s">
        <v>599</v>
      </c>
      <c r="AQ263" s="48" t="s">
        <v>600</v>
      </c>
      <c r="AS263" s="57">
        <f>AM263+AN263</f>
        <v>0</v>
      </c>
      <c r="AT263" s="57">
        <f>G263/(100-AU263)*100</f>
        <v>0</v>
      </c>
      <c r="AU263" s="57">
        <v>0</v>
      </c>
      <c r="AV263" s="57">
        <f>L263</f>
        <v>0.039599999999999996</v>
      </c>
    </row>
    <row r="264" spans="4:6" ht="12.75">
      <c r="D264" s="27" t="s">
        <v>475</v>
      </c>
      <c r="F264" s="33">
        <v>0.72</v>
      </c>
    </row>
    <row r="265" spans="1:37" ht="12.75">
      <c r="A265" s="11"/>
      <c r="B265" s="23"/>
      <c r="C265" s="23" t="s">
        <v>103</v>
      </c>
      <c r="D265" s="23" t="s">
        <v>476</v>
      </c>
      <c r="E265" s="11" t="s">
        <v>6</v>
      </c>
      <c r="F265" s="11" t="s">
        <v>6</v>
      </c>
      <c r="G265" s="11" t="s">
        <v>6</v>
      </c>
      <c r="H265" s="60">
        <f>SUM(H266:H290)</f>
        <v>0</v>
      </c>
      <c r="I265" s="60">
        <f>SUM(I266:I290)</f>
        <v>0</v>
      </c>
      <c r="J265" s="60">
        <f>H265+I265</f>
        <v>0</v>
      </c>
      <c r="K265" s="48"/>
      <c r="L265" s="60">
        <f>SUM(L266:L290)</f>
        <v>37.1167411</v>
      </c>
      <c r="M265" s="48"/>
      <c r="Y265" s="48"/>
      <c r="AI265" s="60">
        <f>SUM(Z266:Z290)</f>
        <v>0</v>
      </c>
      <c r="AJ265" s="60">
        <f>SUM(AA266:AA290)</f>
        <v>0</v>
      </c>
      <c r="AK265" s="60">
        <f>SUM(AB266:AB290)</f>
        <v>0</v>
      </c>
    </row>
    <row r="266" spans="1:48" ht="12.75">
      <c r="A266" s="10" t="s">
        <v>100</v>
      </c>
      <c r="B266" s="10"/>
      <c r="C266" s="10" t="s">
        <v>220</v>
      </c>
      <c r="D266" s="10" t="s">
        <v>477</v>
      </c>
      <c r="E266" s="10" t="s">
        <v>530</v>
      </c>
      <c r="F266" s="32">
        <v>0.82</v>
      </c>
      <c r="G266" s="32">
        <v>0</v>
      </c>
      <c r="H266" s="32">
        <f>F266*AE266</f>
        <v>0</v>
      </c>
      <c r="I266" s="32">
        <f>J266-H266</f>
        <v>0</v>
      </c>
      <c r="J266" s="32">
        <f>F266*G266</f>
        <v>0</v>
      </c>
      <c r="K266" s="32">
        <v>1.80133</v>
      </c>
      <c r="L266" s="32">
        <f>F266*K266</f>
        <v>1.4770906</v>
      </c>
      <c r="M266" s="54" t="s">
        <v>557</v>
      </c>
      <c r="P266" s="57">
        <f>IF(AG266="5",J266,0)</f>
        <v>0</v>
      </c>
      <c r="R266" s="57">
        <f>IF(AG266="1",H266,0)</f>
        <v>0</v>
      </c>
      <c r="S266" s="57">
        <f>IF(AG266="1",I266,0)</f>
        <v>0</v>
      </c>
      <c r="T266" s="57">
        <f>IF(AG266="7",H266,0)</f>
        <v>0</v>
      </c>
      <c r="U266" s="57">
        <f>IF(AG266="7",I266,0)</f>
        <v>0</v>
      </c>
      <c r="V266" s="57">
        <f>IF(AG266="2",H266,0)</f>
        <v>0</v>
      </c>
      <c r="W266" s="57">
        <f>IF(AG266="2",I266,0)</f>
        <v>0</v>
      </c>
      <c r="X266" s="57">
        <f>IF(AG266="0",J266,0)</f>
        <v>0</v>
      </c>
      <c r="Y266" s="48"/>
      <c r="Z266" s="32">
        <f>IF(AD266=0,J266,0)</f>
        <v>0</v>
      </c>
      <c r="AA266" s="32">
        <f>IF(AD266=15,J266,0)</f>
        <v>0</v>
      </c>
      <c r="AB266" s="32">
        <f>IF(AD266=21,J266,0)</f>
        <v>0</v>
      </c>
      <c r="AD266" s="57">
        <v>21</v>
      </c>
      <c r="AE266" s="57">
        <f>G266*0.0193288590604027</f>
        <v>0</v>
      </c>
      <c r="AF266" s="57">
        <f>G266*(1-0.0193288590604027)</f>
        <v>0</v>
      </c>
      <c r="AG266" s="54" t="s">
        <v>7</v>
      </c>
      <c r="AM266" s="57">
        <f>F266*AE266</f>
        <v>0</v>
      </c>
      <c r="AN266" s="57">
        <f>F266*AF266</f>
        <v>0</v>
      </c>
      <c r="AO266" s="58" t="s">
        <v>587</v>
      </c>
      <c r="AP266" s="58" t="s">
        <v>599</v>
      </c>
      <c r="AQ266" s="48" t="s">
        <v>600</v>
      </c>
      <c r="AS266" s="57">
        <f>AM266+AN266</f>
        <v>0</v>
      </c>
      <c r="AT266" s="57">
        <f>G266/(100-AU266)*100</f>
        <v>0</v>
      </c>
      <c r="AU266" s="57">
        <v>0</v>
      </c>
      <c r="AV266" s="57">
        <f>L266</f>
        <v>1.4770906</v>
      </c>
    </row>
    <row r="267" spans="4:6" ht="12.75">
      <c r="D267" s="27" t="s">
        <v>478</v>
      </c>
      <c r="F267" s="33">
        <v>0.41</v>
      </c>
    </row>
    <row r="268" spans="4:6" ht="12.75">
      <c r="D268" s="27" t="s">
        <v>479</v>
      </c>
      <c r="F268" s="33">
        <v>0.41</v>
      </c>
    </row>
    <row r="269" spans="1:48" ht="12.75">
      <c r="A269" s="10" t="s">
        <v>101</v>
      </c>
      <c r="B269" s="10"/>
      <c r="C269" s="10" t="s">
        <v>221</v>
      </c>
      <c r="D269" s="10" t="s">
        <v>480</v>
      </c>
      <c r="E269" s="10" t="s">
        <v>535</v>
      </c>
      <c r="F269" s="32">
        <v>4.5</v>
      </c>
      <c r="G269" s="32">
        <v>0</v>
      </c>
      <c r="H269" s="32">
        <f>F269*AE269</f>
        <v>0</v>
      </c>
      <c r="I269" s="32">
        <f>J269-H269</f>
        <v>0</v>
      </c>
      <c r="J269" s="32">
        <f>F269*G269</f>
        <v>0</v>
      </c>
      <c r="K269" s="32">
        <v>0.065</v>
      </c>
      <c r="L269" s="32">
        <f>F269*K269</f>
        <v>0.2925</v>
      </c>
      <c r="M269" s="54" t="s">
        <v>557</v>
      </c>
      <c r="P269" s="57">
        <f>IF(AG269="5",J269,0)</f>
        <v>0</v>
      </c>
      <c r="R269" s="57">
        <f>IF(AG269="1",H269,0)</f>
        <v>0</v>
      </c>
      <c r="S269" s="57">
        <f>IF(AG269="1",I269,0)</f>
        <v>0</v>
      </c>
      <c r="T269" s="57">
        <f>IF(AG269="7",H269,0)</f>
        <v>0</v>
      </c>
      <c r="U269" s="57">
        <f>IF(AG269="7",I269,0)</f>
        <v>0</v>
      </c>
      <c r="V269" s="57">
        <f>IF(AG269="2",H269,0)</f>
        <v>0</v>
      </c>
      <c r="W269" s="57">
        <f>IF(AG269="2",I269,0)</f>
        <v>0</v>
      </c>
      <c r="X269" s="57">
        <f>IF(AG269="0",J269,0)</f>
        <v>0</v>
      </c>
      <c r="Y269" s="48"/>
      <c r="Z269" s="32">
        <f>IF(AD269=0,J269,0)</f>
        <v>0</v>
      </c>
      <c r="AA269" s="32">
        <f>IF(AD269=15,J269,0)</f>
        <v>0</v>
      </c>
      <c r="AB269" s="32">
        <f>IF(AD269=21,J269,0)</f>
        <v>0</v>
      </c>
      <c r="AD269" s="57">
        <v>21</v>
      </c>
      <c r="AE269" s="57">
        <f>G269*0</f>
        <v>0</v>
      </c>
      <c r="AF269" s="57">
        <f>G269*(1-0)</f>
        <v>0</v>
      </c>
      <c r="AG269" s="54" t="s">
        <v>7</v>
      </c>
      <c r="AM269" s="57">
        <f>F269*AE269</f>
        <v>0</v>
      </c>
      <c r="AN269" s="57">
        <f>F269*AF269</f>
        <v>0</v>
      </c>
      <c r="AO269" s="58" t="s">
        <v>587</v>
      </c>
      <c r="AP269" s="58" t="s">
        <v>599</v>
      </c>
      <c r="AQ269" s="48" t="s">
        <v>600</v>
      </c>
      <c r="AS269" s="57">
        <f>AM269+AN269</f>
        <v>0</v>
      </c>
      <c r="AT269" s="57">
        <f>G269/(100-AU269)*100</f>
        <v>0</v>
      </c>
      <c r="AU269" s="57">
        <v>0</v>
      </c>
      <c r="AV269" s="57">
        <f>L269</f>
        <v>0.2925</v>
      </c>
    </row>
    <row r="270" spans="4:6" ht="12.75">
      <c r="D270" s="27" t="s">
        <v>481</v>
      </c>
      <c r="F270" s="33">
        <v>4.5</v>
      </c>
    </row>
    <row r="271" spans="1:48" ht="12.75">
      <c r="A271" s="10" t="s">
        <v>102</v>
      </c>
      <c r="B271" s="10"/>
      <c r="C271" s="10" t="s">
        <v>222</v>
      </c>
      <c r="D271" s="10" t="s">
        <v>482</v>
      </c>
      <c r="E271" s="10" t="s">
        <v>532</v>
      </c>
      <c r="F271" s="32">
        <v>72</v>
      </c>
      <c r="G271" s="32">
        <v>0</v>
      </c>
      <c r="H271" s="32">
        <f>F271*AE271</f>
        <v>0</v>
      </c>
      <c r="I271" s="32">
        <f>J271-H271</f>
        <v>0</v>
      </c>
      <c r="J271" s="32">
        <f>F271*G271</f>
        <v>0</v>
      </c>
      <c r="K271" s="32">
        <v>0.03149</v>
      </c>
      <c r="L271" s="32">
        <f>F271*K271</f>
        <v>2.26728</v>
      </c>
      <c r="M271" s="54" t="s">
        <v>557</v>
      </c>
      <c r="P271" s="57">
        <f>IF(AG271="5",J271,0)</f>
        <v>0</v>
      </c>
      <c r="R271" s="57">
        <f>IF(AG271="1",H271,0)</f>
        <v>0</v>
      </c>
      <c r="S271" s="57">
        <f>IF(AG271="1",I271,0)</f>
        <v>0</v>
      </c>
      <c r="T271" s="57">
        <f>IF(AG271="7",H271,0)</f>
        <v>0</v>
      </c>
      <c r="U271" s="57">
        <f>IF(AG271="7",I271,0)</f>
        <v>0</v>
      </c>
      <c r="V271" s="57">
        <f>IF(AG271="2",H271,0)</f>
        <v>0</v>
      </c>
      <c r="W271" s="57">
        <f>IF(AG271="2",I271,0)</f>
        <v>0</v>
      </c>
      <c r="X271" s="57">
        <f>IF(AG271="0",J271,0)</f>
        <v>0</v>
      </c>
      <c r="Y271" s="48"/>
      <c r="Z271" s="32">
        <f>IF(AD271=0,J271,0)</f>
        <v>0</v>
      </c>
      <c r="AA271" s="32">
        <f>IF(AD271=15,J271,0)</f>
        <v>0</v>
      </c>
      <c r="AB271" s="32">
        <f>IF(AD271=21,J271,0)</f>
        <v>0</v>
      </c>
      <c r="AD271" s="57">
        <v>21</v>
      </c>
      <c r="AE271" s="57">
        <f>G271*0.0528216704288939</f>
        <v>0</v>
      </c>
      <c r="AF271" s="57">
        <f>G271*(1-0.0528216704288939)</f>
        <v>0</v>
      </c>
      <c r="AG271" s="54" t="s">
        <v>7</v>
      </c>
      <c r="AM271" s="57">
        <f>F271*AE271</f>
        <v>0</v>
      </c>
      <c r="AN271" s="57">
        <f>F271*AF271</f>
        <v>0</v>
      </c>
      <c r="AO271" s="58" t="s">
        <v>587</v>
      </c>
      <c r="AP271" s="58" t="s">
        <v>599</v>
      </c>
      <c r="AQ271" s="48" t="s">
        <v>600</v>
      </c>
      <c r="AS271" s="57">
        <f>AM271+AN271</f>
        <v>0</v>
      </c>
      <c r="AT271" s="57">
        <f>G271/(100-AU271)*100</f>
        <v>0</v>
      </c>
      <c r="AU271" s="57">
        <v>0</v>
      </c>
      <c r="AV271" s="57">
        <f>L271</f>
        <v>2.26728</v>
      </c>
    </row>
    <row r="272" spans="4:6" ht="12.75">
      <c r="D272" s="27" t="s">
        <v>483</v>
      </c>
      <c r="F272" s="33">
        <v>22</v>
      </c>
    </row>
    <row r="273" spans="4:6" ht="12.75">
      <c r="D273" s="27" t="s">
        <v>272</v>
      </c>
      <c r="F273" s="33">
        <v>50</v>
      </c>
    </row>
    <row r="274" spans="1:48" ht="12.75">
      <c r="A274" s="10" t="s">
        <v>103</v>
      </c>
      <c r="B274" s="10"/>
      <c r="C274" s="10" t="s">
        <v>223</v>
      </c>
      <c r="D274" s="10" t="s">
        <v>484</v>
      </c>
      <c r="E274" s="10" t="s">
        <v>531</v>
      </c>
      <c r="F274" s="32">
        <v>108.5915</v>
      </c>
      <c r="G274" s="32">
        <v>0</v>
      </c>
      <c r="H274" s="32">
        <f>F274*AE274</f>
        <v>0</v>
      </c>
      <c r="I274" s="32">
        <f>J274-H274</f>
        <v>0</v>
      </c>
      <c r="J274" s="32">
        <f>F274*G274</f>
        <v>0</v>
      </c>
      <c r="K274" s="32">
        <v>0.05</v>
      </c>
      <c r="L274" s="32">
        <f>F274*K274</f>
        <v>5.429575</v>
      </c>
      <c r="M274" s="54" t="s">
        <v>557</v>
      </c>
      <c r="P274" s="57">
        <f>IF(AG274="5",J274,0)</f>
        <v>0</v>
      </c>
      <c r="R274" s="57">
        <f>IF(AG274="1",H274,0)</f>
        <v>0</v>
      </c>
      <c r="S274" s="57">
        <f>IF(AG274="1",I274,0)</f>
        <v>0</v>
      </c>
      <c r="T274" s="57">
        <f>IF(AG274="7",H274,0)</f>
        <v>0</v>
      </c>
      <c r="U274" s="57">
        <f>IF(AG274="7",I274,0)</f>
        <v>0</v>
      </c>
      <c r="V274" s="57">
        <f>IF(AG274="2",H274,0)</f>
        <v>0</v>
      </c>
      <c r="W274" s="57">
        <f>IF(AG274="2",I274,0)</f>
        <v>0</v>
      </c>
      <c r="X274" s="57">
        <f>IF(AG274="0",J274,0)</f>
        <v>0</v>
      </c>
      <c r="Y274" s="48"/>
      <c r="Z274" s="32">
        <f>IF(AD274=0,J274,0)</f>
        <v>0</v>
      </c>
      <c r="AA274" s="32">
        <f>IF(AD274=15,J274,0)</f>
        <v>0</v>
      </c>
      <c r="AB274" s="32">
        <f>IF(AD274=21,J274,0)</f>
        <v>0</v>
      </c>
      <c r="AD274" s="57">
        <v>21</v>
      </c>
      <c r="AE274" s="57">
        <f>G274*0</f>
        <v>0</v>
      </c>
      <c r="AF274" s="57">
        <f>G274*(1-0)</f>
        <v>0</v>
      </c>
      <c r="AG274" s="54" t="s">
        <v>7</v>
      </c>
      <c r="AM274" s="57">
        <f>F274*AE274</f>
        <v>0</v>
      </c>
      <c r="AN274" s="57">
        <f>F274*AF274</f>
        <v>0</v>
      </c>
      <c r="AO274" s="58" t="s">
        <v>587</v>
      </c>
      <c r="AP274" s="58" t="s">
        <v>599</v>
      </c>
      <c r="AQ274" s="48" t="s">
        <v>600</v>
      </c>
      <c r="AS274" s="57">
        <f>AM274+AN274</f>
        <v>0</v>
      </c>
      <c r="AT274" s="57">
        <f>G274/(100-AU274)*100</f>
        <v>0</v>
      </c>
      <c r="AU274" s="57">
        <v>0</v>
      </c>
      <c r="AV274" s="57">
        <f>L274</f>
        <v>5.429575</v>
      </c>
    </row>
    <row r="275" spans="4:6" ht="12.75">
      <c r="D275" s="27" t="s">
        <v>485</v>
      </c>
      <c r="F275" s="33">
        <v>108.5915</v>
      </c>
    </row>
    <row r="276" spans="1:48" ht="12.75">
      <c r="A276" s="10" t="s">
        <v>104</v>
      </c>
      <c r="B276" s="10"/>
      <c r="C276" s="10" t="s">
        <v>224</v>
      </c>
      <c r="D276" s="10" t="s">
        <v>486</v>
      </c>
      <c r="E276" s="10" t="s">
        <v>531</v>
      </c>
      <c r="F276" s="32">
        <v>408.7335</v>
      </c>
      <c r="G276" s="32">
        <v>0</v>
      </c>
      <c r="H276" s="32">
        <f>F276*AE276</f>
        <v>0</v>
      </c>
      <c r="I276" s="32">
        <f>J276-H276</f>
        <v>0</v>
      </c>
      <c r="J276" s="32">
        <f>F276*G276</f>
        <v>0</v>
      </c>
      <c r="K276" s="32">
        <v>0.046</v>
      </c>
      <c r="L276" s="32">
        <f>F276*K276</f>
        <v>18.801741</v>
      </c>
      <c r="M276" s="54" t="s">
        <v>557</v>
      </c>
      <c r="P276" s="57">
        <f>IF(AG276="5",J276,0)</f>
        <v>0</v>
      </c>
      <c r="R276" s="57">
        <f>IF(AG276="1",H276,0)</f>
        <v>0</v>
      </c>
      <c r="S276" s="57">
        <f>IF(AG276="1",I276,0)</f>
        <v>0</v>
      </c>
      <c r="T276" s="57">
        <f>IF(AG276="7",H276,0)</f>
        <v>0</v>
      </c>
      <c r="U276" s="57">
        <f>IF(AG276="7",I276,0)</f>
        <v>0</v>
      </c>
      <c r="V276" s="57">
        <f>IF(AG276="2",H276,0)</f>
        <v>0</v>
      </c>
      <c r="W276" s="57">
        <f>IF(AG276="2",I276,0)</f>
        <v>0</v>
      </c>
      <c r="X276" s="57">
        <f>IF(AG276="0",J276,0)</f>
        <v>0</v>
      </c>
      <c r="Y276" s="48"/>
      <c r="Z276" s="32">
        <f>IF(AD276=0,J276,0)</f>
        <v>0</v>
      </c>
      <c r="AA276" s="32">
        <f>IF(AD276=15,J276,0)</f>
        <v>0</v>
      </c>
      <c r="AB276" s="32">
        <f>IF(AD276=21,J276,0)</f>
        <v>0</v>
      </c>
      <c r="AD276" s="57">
        <v>21</v>
      </c>
      <c r="AE276" s="57">
        <f>G276*0</f>
        <v>0</v>
      </c>
      <c r="AF276" s="57">
        <f>G276*(1-0)</f>
        <v>0</v>
      </c>
      <c r="AG276" s="54" t="s">
        <v>7</v>
      </c>
      <c r="AM276" s="57">
        <f>F276*AE276</f>
        <v>0</v>
      </c>
      <c r="AN276" s="57">
        <f>F276*AF276</f>
        <v>0</v>
      </c>
      <c r="AO276" s="58" t="s">
        <v>587</v>
      </c>
      <c r="AP276" s="58" t="s">
        <v>599</v>
      </c>
      <c r="AQ276" s="48" t="s">
        <v>600</v>
      </c>
      <c r="AS276" s="57">
        <f>AM276+AN276</f>
        <v>0</v>
      </c>
      <c r="AT276" s="57">
        <f>G276/(100-AU276)*100</f>
        <v>0</v>
      </c>
      <c r="AU276" s="57">
        <v>0</v>
      </c>
      <c r="AV276" s="57">
        <f>L276</f>
        <v>18.801741</v>
      </c>
    </row>
    <row r="277" spans="4:6" ht="12.75">
      <c r="D277" s="27" t="s">
        <v>487</v>
      </c>
      <c r="F277" s="33">
        <v>163.785</v>
      </c>
    </row>
    <row r="278" spans="4:6" ht="12.75">
      <c r="D278" s="27" t="s">
        <v>488</v>
      </c>
      <c r="F278" s="33">
        <v>-11.25</v>
      </c>
    </row>
    <row r="279" spans="4:6" ht="12.75">
      <c r="D279" s="27" t="s">
        <v>489</v>
      </c>
      <c r="F279" s="33">
        <v>-0.7225</v>
      </c>
    </row>
    <row r="280" spans="4:6" ht="12.75">
      <c r="D280" s="27" t="s">
        <v>490</v>
      </c>
      <c r="F280" s="33">
        <v>-0.81</v>
      </c>
    </row>
    <row r="281" spans="4:6" ht="12.75">
      <c r="D281" s="27" t="s">
        <v>491</v>
      </c>
      <c r="F281" s="33">
        <v>-1.8</v>
      </c>
    </row>
    <row r="282" spans="4:6" ht="12.75">
      <c r="D282" s="27" t="s">
        <v>492</v>
      </c>
      <c r="F282" s="33">
        <v>144.72</v>
      </c>
    </row>
    <row r="283" spans="4:6" ht="12.75">
      <c r="D283" s="27" t="s">
        <v>493</v>
      </c>
      <c r="F283" s="33">
        <v>-15.75</v>
      </c>
    </row>
    <row r="284" spans="4:6" ht="12.75">
      <c r="D284" s="27" t="s">
        <v>491</v>
      </c>
      <c r="F284" s="33">
        <v>-1.8</v>
      </c>
    </row>
    <row r="285" spans="4:6" ht="12.75">
      <c r="D285" s="27" t="s">
        <v>494</v>
      </c>
      <c r="F285" s="33">
        <v>-2.08</v>
      </c>
    </row>
    <row r="286" spans="4:6" ht="12.75">
      <c r="D286" s="27" t="s">
        <v>495</v>
      </c>
      <c r="F286" s="33">
        <v>144.771</v>
      </c>
    </row>
    <row r="287" spans="4:6" ht="12.75">
      <c r="D287" s="27" t="s">
        <v>496</v>
      </c>
      <c r="F287" s="33">
        <v>-6.75</v>
      </c>
    </row>
    <row r="288" spans="4:6" ht="12.75">
      <c r="D288" s="27" t="s">
        <v>497</v>
      </c>
      <c r="F288" s="33">
        <v>-1.5</v>
      </c>
    </row>
    <row r="289" spans="4:6" ht="12.75">
      <c r="D289" s="27" t="s">
        <v>494</v>
      </c>
      <c r="F289" s="33">
        <v>-2.08</v>
      </c>
    </row>
    <row r="290" spans="1:48" ht="12.75">
      <c r="A290" s="10" t="s">
        <v>105</v>
      </c>
      <c r="B290" s="10"/>
      <c r="C290" s="10" t="s">
        <v>225</v>
      </c>
      <c r="D290" s="10" t="s">
        <v>498</v>
      </c>
      <c r="E290" s="10" t="s">
        <v>531</v>
      </c>
      <c r="F290" s="32">
        <v>149.9755</v>
      </c>
      <c r="G290" s="32">
        <v>0</v>
      </c>
      <c r="H290" s="32">
        <f>F290*AE290</f>
        <v>0</v>
      </c>
      <c r="I290" s="32">
        <f>J290-H290</f>
        <v>0</v>
      </c>
      <c r="J290" s="32">
        <f>F290*G290</f>
        <v>0</v>
      </c>
      <c r="K290" s="32">
        <v>0.059</v>
      </c>
      <c r="L290" s="32">
        <f>F290*K290</f>
        <v>8.8485545</v>
      </c>
      <c r="M290" s="54" t="s">
        <v>557</v>
      </c>
      <c r="P290" s="57">
        <f>IF(AG290="5",J290,0)</f>
        <v>0</v>
      </c>
      <c r="R290" s="57">
        <f>IF(AG290="1",H290,0)</f>
        <v>0</v>
      </c>
      <c r="S290" s="57">
        <f>IF(AG290="1",I290,0)</f>
        <v>0</v>
      </c>
      <c r="T290" s="57">
        <f>IF(AG290="7",H290,0)</f>
        <v>0</v>
      </c>
      <c r="U290" s="57">
        <f>IF(AG290="7",I290,0)</f>
        <v>0</v>
      </c>
      <c r="V290" s="57">
        <f>IF(AG290="2",H290,0)</f>
        <v>0</v>
      </c>
      <c r="W290" s="57">
        <f>IF(AG290="2",I290,0)</f>
        <v>0</v>
      </c>
      <c r="X290" s="57">
        <f>IF(AG290="0",J290,0)</f>
        <v>0</v>
      </c>
      <c r="Y290" s="48"/>
      <c r="Z290" s="32">
        <f>IF(AD290=0,J290,0)</f>
        <v>0</v>
      </c>
      <c r="AA290" s="32">
        <f>IF(AD290=15,J290,0)</f>
        <v>0</v>
      </c>
      <c r="AB290" s="32">
        <f>IF(AD290=21,J290,0)</f>
        <v>0</v>
      </c>
      <c r="AD290" s="57">
        <v>21</v>
      </c>
      <c r="AE290" s="57">
        <f>G290*0</f>
        <v>0</v>
      </c>
      <c r="AF290" s="57">
        <f>G290*(1-0)</f>
        <v>0</v>
      </c>
      <c r="AG290" s="54" t="s">
        <v>7</v>
      </c>
      <c r="AM290" s="57">
        <f>F290*AE290</f>
        <v>0</v>
      </c>
      <c r="AN290" s="57">
        <f>F290*AF290</f>
        <v>0</v>
      </c>
      <c r="AO290" s="58" t="s">
        <v>587</v>
      </c>
      <c r="AP290" s="58" t="s">
        <v>599</v>
      </c>
      <c r="AQ290" s="48" t="s">
        <v>600</v>
      </c>
      <c r="AS290" s="57">
        <f>AM290+AN290</f>
        <v>0</v>
      </c>
      <c r="AT290" s="57">
        <f>G290/(100-AU290)*100</f>
        <v>0</v>
      </c>
      <c r="AU290" s="57">
        <v>0</v>
      </c>
      <c r="AV290" s="57">
        <f>L290</f>
        <v>8.8485545</v>
      </c>
    </row>
    <row r="291" spans="4:6" ht="12.75">
      <c r="D291" s="27" t="s">
        <v>499</v>
      </c>
      <c r="F291" s="33">
        <v>256.35</v>
      </c>
    </row>
    <row r="292" spans="4:6" ht="12.75">
      <c r="D292" s="27" t="s">
        <v>500</v>
      </c>
      <c r="F292" s="33">
        <v>-31.5</v>
      </c>
    </row>
    <row r="293" spans="4:6" ht="12.75">
      <c r="D293" s="27" t="s">
        <v>497</v>
      </c>
      <c r="F293" s="33">
        <v>-1.5</v>
      </c>
    </row>
    <row r="294" spans="4:6" ht="12.75">
      <c r="D294" s="27" t="s">
        <v>501</v>
      </c>
      <c r="F294" s="33">
        <v>-2.9945</v>
      </c>
    </row>
    <row r="295" spans="4:6" ht="12.75">
      <c r="D295" s="27" t="s">
        <v>502</v>
      </c>
      <c r="F295" s="33">
        <v>-70.38</v>
      </c>
    </row>
    <row r="296" spans="1:37" ht="12.75">
      <c r="A296" s="11"/>
      <c r="B296" s="23"/>
      <c r="C296" s="23" t="s">
        <v>226</v>
      </c>
      <c r="D296" s="23" t="s">
        <v>503</v>
      </c>
      <c r="E296" s="11" t="s">
        <v>6</v>
      </c>
      <c r="F296" s="11" t="s">
        <v>6</v>
      </c>
      <c r="G296" s="11" t="s">
        <v>6</v>
      </c>
      <c r="H296" s="60">
        <f>SUM(H297:H297)</f>
        <v>0</v>
      </c>
      <c r="I296" s="60">
        <f>SUM(I297:I297)</f>
        <v>0</v>
      </c>
      <c r="J296" s="60">
        <f>H296+I296</f>
        <v>0</v>
      </c>
      <c r="K296" s="48"/>
      <c r="L296" s="60">
        <f>SUM(L297:L297)</f>
        <v>0</v>
      </c>
      <c r="M296" s="48"/>
      <c r="Y296" s="48"/>
      <c r="AI296" s="60">
        <f>SUM(Z297:Z297)</f>
        <v>0</v>
      </c>
      <c r="AJ296" s="60">
        <f>SUM(AA297:AA297)</f>
        <v>0</v>
      </c>
      <c r="AK296" s="60">
        <f>SUM(AB297:AB297)</f>
        <v>0</v>
      </c>
    </row>
    <row r="297" spans="1:48" ht="12.75">
      <c r="A297" s="10" t="s">
        <v>106</v>
      </c>
      <c r="B297" s="10"/>
      <c r="C297" s="10" t="s">
        <v>227</v>
      </c>
      <c r="D297" s="10" t="s">
        <v>504</v>
      </c>
      <c r="E297" s="10" t="s">
        <v>529</v>
      </c>
      <c r="F297" s="32">
        <v>228.596</v>
      </c>
      <c r="G297" s="32">
        <v>0</v>
      </c>
      <c r="H297" s="32">
        <f>F297*AE297</f>
        <v>0</v>
      </c>
      <c r="I297" s="32">
        <f>J297-H297</f>
        <v>0</v>
      </c>
      <c r="J297" s="32">
        <f>F297*G297</f>
        <v>0</v>
      </c>
      <c r="K297" s="32">
        <v>0</v>
      </c>
      <c r="L297" s="32">
        <f>F297*K297</f>
        <v>0</v>
      </c>
      <c r="M297" s="54" t="s">
        <v>557</v>
      </c>
      <c r="P297" s="57">
        <f>IF(AG297="5",J297,0)</f>
        <v>0</v>
      </c>
      <c r="R297" s="57">
        <f>IF(AG297="1",H297,0)</f>
        <v>0</v>
      </c>
      <c r="S297" s="57">
        <f>IF(AG297="1",I297,0)</f>
        <v>0</v>
      </c>
      <c r="T297" s="57">
        <f>IF(AG297="7",H297,0)</f>
        <v>0</v>
      </c>
      <c r="U297" s="57">
        <f>IF(AG297="7",I297,0)</f>
        <v>0</v>
      </c>
      <c r="V297" s="57">
        <f>IF(AG297="2",H297,0)</f>
        <v>0</v>
      </c>
      <c r="W297" s="57">
        <f>IF(AG297="2",I297,0)</f>
        <v>0</v>
      </c>
      <c r="X297" s="57">
        <f>IF(AG297="0",J297,0)</f>
        <v>0</v>
      </c>
      <c r="Y297" s="48"/>
      <c r="Z297" s="32">
        <f>IF(AD297=0,J297,0)</f>
        <v>0</v>
      </c>
      <c r="AA297" s="32">
        <f>IF(AD297=15,J297,0)</f>
        <v>0</v>
      </c>
      <c r="AB297" s="32">
        <f>IF(AD297=21,J297,0)</f>
        <v>0</v>
      </c>
      <c r="AD297" s="57">
        <v>21</v>
      </c>
      <c r="AE297" s="57">
        <f>G297*0</f>
        <v>0</v>
      </c>
      <c r="AF297" s="57">
        <f>G297*(1-0)</f>
        <v>0</v>
      </c>
      <c r="AG297" s="54" t="s">
        <v>11</v>
      </c>
      <c r="AM297" s="57">
        <f>F297*AE297</f>
        <v>0</v>
      </c>
      <c r="AN297" s="57">
        <f>F297*AF297</f>
        <v>0</v>
      </c>
      <c r="AO297" s="58" t="s">
        <v>588</v>
      </c>
      <c r="AP297" s="58" t="s">
        <v>599</v>
      </c>
      <c r="AQ297" s="48" t="s">
        <v>600</v>
      </c>
      <c r="AS297" s="57">
        <f>AM297+AN297</f>
        <v>0</v>
      </c>
      <c r="AT297" s="57">
        <f>G297/(100-AU297)*100</f>
        <v>0</v>
      </c>
      <c r="AU297" s="57">
        <v>0</v>
      </c>
      <c r="AV297" s="57">
        <f>L297</f>
        <v>0</v>
      </c>
    </row>
    <row r="298" spans="4:6" ht="12.75">
      <c r="D298" s="27" t="s">
        <v>505</v>
      </c>
      <c r="F298" s="33">
        <v>228.596</v>
      </c>
    </row>
    <row r="299" spans="1:37" ht="12.75">
      <c r="A299" s="11"/>
      <c r="B299" s="23"/>
      <c r="C299" s="23" t="s">
        <v>228</v>
      </c>
      <c r="D299" s="23" t="s">
        <v>506</v>
      </c>
      <c r="E299" s="11" t="s">
        <v>6</v>
      </c>
      <c r="F299" s="11" t="s">
        <v>6</v>
      </c>
      <c r="G299" s="11" t="s">
        <v>6</v>
      </c>
      <c r="H299" s="60">
        <f>SUM(H300:H300)</f>
        <v>0</v>
      </c>
      <c r="I299" s="60">
        <f>SUM(I300:I300)</f>
        <v>0</v>
      </c>
      <c r="J299" s="60">
        <f>H299+I299</f>
        <v>0</v>
      </c>
      <c r="K299" s="48"/>
      <c r="L299" s="60">
        <f>SUM(L300:L300)</f>
        <v>0</v>
      </c>
      <c r="M299" s="48"/>
      <c r="Y299" s="48"/>
      <c r="AI299" s="60">
        <f>SUM(Z300:Z300)</f>
        <v>0</v>
      </c>
      <c r="AJ299" s="60">
        <f>SUM(AA300:AA300)</f>
        <v>0</v>
      </c>
      <c r="AK299" s="60">
        <f>SUM(AB300:AB300)</f>
        <v>0</v>
      </c>
    </row>
    <row r="300" spans="1:48" ht="12.75">
      <c r="A300" s="10" t="s">
        <v>107</v>
      </c>
      <c r="B300" s="10"/>
      <c r="C300" s="10" t="s">
        <v>229</v>
      </c>
      <c r="D300" s="10" t="s">
        <v>507</v>
      </c>
      <c r="E300" s="10" t="s">
        <v>533</v>
      </c>
      <c r="F300" s="32">
        <v>1</v>
      </c>
      <c r="G300" s="32">
        <v>0</v>
      </c>
      <c r="H300" s="32">
        <f>F300*AE300</f>
        <v>0</v>
      </c>
      <c r="I300" s="32">
        <f>J300-H300</f>
        <v>0</v>
      </c>
      <c r="J300" s="32">
        <f>F300*G300</f>
        <v>0</v>
      </c>
      <c r="K300" s="32">
        <v>0</v>
      </c>
      <c r="L300" s="32">
        <f>F300*K300</f>
        <v>0</v>
      </c>
      <c r="M300" s="54" t="s">
        <v>557</v>
      </c>
      <c r="P300" s="57">
        <f>IF(AG300="5",J300,0)</f>
        <v>0</v>
      </c>
      <c r="R300" s="57">
        <f>IF(AG300="1",H300,0)</f>
        <v>0</v>
      </c>
      <c r="S300" s="57">
        <f>IF(AG300="1",I300,0)</f>
        <v>0</v>
      </c>
      <c r="T300" s="57">
        <f>IF(AG300="7",H300,0)</f>
        <v>0</v>
      </c>
      <c r="U300" s="57">
        <f>IF(AG300="7",I300,0)</f>
        <v>0</v>
      </c>
      <c r="V300" s="57">
        <f>IF(AG300="2",H300,0)</f>
        <v>0</v>
      </c>
      <c r="W300" s="57">
        <f>IF(AG300="2",I300,0)</f>
        <v>0</v>
      </c>
      <c r="X300" s="57">
        <f>IF(AG300="0",J300,0)</f>
        <v>0</v>
      </c>
      <c r="Y300" s="48"/>
      <c r="Z300" s="32">
        <f>IF(AD300=0,J300,0)</f>
        <v>0</v>
      </c>
      <c r="AA300" s="32">
        <f>IF(AD300=15,J300,0)</f>
        <v>0</v>
      </c>
      <c r="AB300" s="32">
        <f>IF(AD300=21,J300,0)</f>
        <v>0</v>
      </c>
      <c r="AD300" s="57">
        <v>21</v>
      </c>
      <c r="AE300" s="57">
        <f>G300*0</f>
        <v>0</v>
      </c>
      <c r="AF300" s="57">
        <f>G300*(1-0)</f>
        <v>0</v>
      </c>
      <c r="AG300" s="54" t="s">
        <v>8</v>
      </c>
      <c r="AM300" s="57">
        <f>F300*AE300</f>
        <v>0</v>
      </c>
      <c r="AN300" s="57">
        <f>F300*AF300</f>
        <v>0</v>
      </c>
      <c r="AO300" s="58" t="s">
        <v>589</v>
      </c>
      <c r="AP300" s="58" t="s">
        <v>599</v>
      </c>
      <c r="AQ300" s="48" t="s">
        <v>600</v>
      </c>
      <c r="AS300" s="57">
        <f>AM300+AN300</f>
        <v>0</v>
      </c>
      <c r="AT300" s="57">
        <f>G300/(100-AU300)*100</f>
        <v>0</v>
      </c>
      <c r="AU300" s="57">
        <v>0</v>
      </c>
      <c r="AV300" s="57">
        <f>L300</f>
        <v>0</v>
      </c>
    </row>
    <row r="301" spans="4:6" ht="12.75">
      <c r="D301" s="27" t="s">
        <v>7</v>
      </c>
      <c r="F301" s="33">
        <v>1</v>
      </c>
    </row>
    <row r="302" spans="1:37" ht="12.75">
      <c r="A302" s="11"/>
      <c r="B302" s="23"/>
      <c r="C302" s="23" t="s">
        <v>230</v>
      </c>
      <c r="D302" s="23" t="s">
        <v>508</v>
      </c>
      <c r="E302" s="11" t="s">
        <v>6</v>
      </c>
      <c r="F302" s="11" t="s">
        <v>6</v>
      </c>
      <c r="G302" s="11" t="s">
        <v>6</v>
      </c>
      <c r="H302" s="60">
        <f>SUM(H303:H317)</f>
        <v>0</v>
      </c>
      <c r="I302" s="60">
        <f>SUM(I303:I317)</f>
        <v>0</v>
      </c>
      <c r="J302" s="60">
        <f>H302+I302</f>
        <v>0</v>
      </c>
      <c r="K302" s="48"/>
      <c r="L302" s="60">
        <f>SUM(L303:L317)</f>
        <v>0</v>
      </c>
      <c r="M302" s="48"/>
      <c r="Y302" s="48"/>
      <c r="AI302" s="60">
        <f>SUM(Z303:Z317)</f>
        <v>0</v>
      </c>
      <c r="AJ302" s="60">
        <f>SUM(AA303:AA317)</f>
        <v>0</v>
      </c>
      <c r="AK302" s="60">
        <f>SUM(AB303:AB317)</f>
        <v>0</v>
      </c>
    </row>
    <row r="303" spans="1:48" ht="12.75">
      <c r="A303" s="10" t="s">
        <v>108</v>
      </c>
      <c r="B303" s="10"/>
      <c r="C303" s="10" t="s">
        <v>231</v>
      </c>
      <c r="D303" s="10" t="s">
        <v>509</v>
      </c>
      <c r="E303" s="10" t="s">
        <v>529</v>
      </c>
      <c r="F303" s="32">
        <v>50.563</v>
      </c>
      <c r="G303" s="32">
        <v>0</v>
      </c>
      <c r="H303" s="32">
        <f>F303*AE303</f>
        <v>0</v>
      </c>
      <c r="I303" s="32">
        <f>J303-H303</f>
        <v>0</v>
      </c>
      <c r="J303" s="32">
        <f>F303*G303</f>
        <v>0</v>
      </c>
      <c r="K303" s="32">
        <v>0</v>
      </c>
      <c r="L303" s="32">
        <f>F303*K303</f>
        <v>0</v>
      </c>
      <c r="M303" s="54" t="s">
        <v>557</v>
      </c>
      <c r="P303" s="57">
        <f>IF(AG303="5",J303,0)</f>
        <v>0</v>
      </c>
      <c r="R303" s="57">
        <f>IF(AG303="1",H303,0)</f>
        <v>0</v>
      </c>
      <c r="S303" s="57">
        <f>IF(AG303="1",I303,0)</f>
        <v>0</v>
      </c>
      <c r="T303" s="57">
        <f>IF(AG303="7",H303,0)</f>
        <v>0</v>
      </c>
      <c r="U303" s="57">
        <f>IF(AG303="7",I303,0)</f>
        <v>0</v>
      </c>
      <c r="V303" s="57">
        <f>IF(AG303="2",H303,0)</f>
        <v>0</v>
      </c>
      <c r="W303" s="57">
        <f>IF(AG303="2",I303,0)</f>
        <v>0</v>
      </c>
      <c r="X303" s="57">
        <f>IF(AG303="0",J303,0)</f>
        <v>0</v>
      </c>
      <c r="Y303" s="48"/>
      <c r="Z303" s="32">
        <f>IF(AD303=0,J303,0)</f>
        <v>0</v>
      </c>
      <c r="AA303" s="32">
        <f>IF(AD303=15,J303,0)</f>
        <v>0</v>
      </c>
      <c r="AB303" s="32">
        <f>IF(AD303=21,J303,0)</f>
        <v>0</v>
      </c>
      <c r="AD303" s="57">
        <v>21</v>
      </c>
      <c r="AE303" s="57">
        <f>G303*0</f>
        <v>0</v>
      </c>
      <c r="AF303" s="57">
        <f>G303*(1-0)</f>
        <v>0</v>
      </c>
      <c r="AG303" s="54" t="s">
        <v>11</v>
      </c>
      <c r="AM303" s="57">
        <f>F303*AE303</f>
        <v>0</v>
      </c>
      <c r="AN303" s="57">
        <f>F303*AF303</f>
        <v>0</v>
      </c>
      <c r="AO303" s="58" t="s">
        <v>590</v>
      </c>
      <c r="AP303" s="58" t="s">
        <v>599</v>
      </c>
      <c r="AQ303" s="48" t="s">
        <v>600</v>
      </c>
      <c r="AS303" s="57">
        <f>AM303+AN303</f>
        <v>0</v>
      </c>
      <c r="AT303" s="57">
        <f>G303/(100-AU303)*100</f>
        <v>0</v>
      </c>
      <c r="AU303" s="57">
        <v>0</v>
      </c>
      <c r="AV303" s="57">
        <f>L303</f>
        <v>0</v>
      </c>
    </row>
    <row r="304" spans="4:6" ht="12.75">
      <c r="D304" s="27" t="s">
        <v>510</v>
      </c>
      <c r="F304" s="33">
        <v>50.563</v>
      </c>
    </row>
    <row r="305" spans="1:48" ht="12.75">
      <c r="A305" s="10" t="s">
        <v>109</v>
      </c>
      <c r="B305" s="10"/>
      <c r="C305" s="10" t="s">
        <v>232</v>
      </c>
      <c r="D305" s="10" t="s">
        <v>511</v>
      </c>
      <c r="E305" s="10" t="s">
        <v>529</v>
      </c>
      <c r="F305" s="32">
        <v>202.252</v>
      </c>
      <c r="G305" s="32">
        <v>0</v>
      </c>
      <c r="H305" s="32">
        <f>F305*AE305</f>
        <v>0</v>
      </c>
      <c r="I305" s="32">
        <f>J305-H305</f>
        <v>0</v>
      </c>
      <c r="J305" s="32">
        <f>F305*G305</f>
        <v>0</v>
      </c>
      <c r="K305" s="32">
        <v>0</v>
      </c>
      <c r="L305" s="32">
        <f>F305*K305</f>
        <v>0</v>
      </c>
      <c r="M305" s="54" t="s">
        <v>557</v>
      </c>
      <c r="P305" s="57">
        <f>IF(AG305="5",J305,0)</f>
        <v>0</v>
      </c>
      <c r="R305" s="57">
        <f>IF(AG305="1",H305,0)</f>
        <v>0</v>
      </c>
      <c r="S305" s="57">
        <f>IF(AG305="1",I305,0)</f>
        <v>0</v>
      </c>
      <c r="T305" s="57">
        <f>IF(AG305="7",H305,0)</f>
        <v>0</v>
      </c>
      <c r="U305" s="57">
        <f>IF(AG305="7",I305,0)</f>
        <v>0</v>
      </c>
      <c r="V305" s="57">
        <f>IF(AG305="2",H305,0)</f>
        <v>0</v>
      </c>
      <c r="W305" s="57">
        <f>IF(AG305="2",I305,0)</f>
        <v>0</v>
      </c>
      <c r="X305" s="57">
        <f>IF(AG305="0",J305,0)</f>
        <v>0</v>
      </c>
      <c r="Y305" s="48"/>
      <c r="Z305" s="32">
        <f>IF(AD305=0,J305,0)</f>
        <v>0</v>
      </c>
      <c r="AA305" s="32">
        <f>IF(AD305=15,J305,0)</f>
        <v>0</v>
      </c>
      <c r="AB305" s="32">
        <f>IF(AD305=21,J305,0)</f>
        <v>0</v>
      </c>
      <c r="AD305" s="57">
        <v>21</v>
      </c>
      <c r="AE305" s="57">
        <f>G305*0</f>
        <v>0</v>
      </c>
      <c r="AF305" s="57">
        <f>G305*(1-0)</f>
        <v>0</v>
      </c>
      <c r="AG305" s="54" t="s">
        <v>11</v>
      </c>
      <c r="AM305" s="57">
        <f>F305*AE305</f>
        <v>0</v>
      </c>
      <c r="AN305" s="57">
        <f>F305*AF305</f>
        <v>0</v>
      </c>
      <c r="AO305" s="58" t="s">
        <v>590</v>
      </c>
      <c r="AP305" s="58" t="s">
        <v>599</v>
      </c>
      <c r="AQ305" s="48" t="s">
        <v>600</v>
      </c>
      <c r="AS305" s="57">
        <f>AM305+AN305</f>
        <v>0</v>
      </c>
      <c r="AT305" s="57">
        <f>G305/(100-AU305)*100</f>
        <v>0</v>
      </c>
      <c r="AU305" s="57">
        <v>0</v>
      </c>
      <c r="AV305" s="57">
        <f>L305</f>
        <v>0</v>
      </c>
    </row>
    <row r="306" spans="4:6" ht="12.75">
      <c r="D306" s="27" t="s">
        <v>512</v>
      </c>
      <c r="F306" s="33">
        <v>202.252</v>
      </c>
    </row>
    <row r="307" spans="1:48" ht="12.75">
      <c r="A307" s="10" t="s">
        <v>110</v>
      </c>
      <c r="B307" s="10"/>
      <c r="C307" s="10" t="s">
        <v>233</v>
      </c>
      <c r="D307" s="10" t="s">
        <v>513</v>
      </c>
      <c r="E307" s="10" t="s">
        <v>529</v>
      </c>
      <c r="F307" s="32">
        <v>50.563</v>
      </c>
      <c r="G307" s="32">
        <v>0</v>
      </c>
      <c r="H307" s="32">
        <f>F307*AE307</f>
        <v>0</v>
      </c>
      <c r="I307" s="32">
        <f>J307-H307</f>
        <v>0</v>
      </c>
      <c r="J307" s="32">
        <f>F307*G307</f>
        <v>0</v>
      </c>
      <c r="K307" s="32">
        <v>0</v>
      </c>
      <c r="L307" s="32">
        <f>F307*K307</f>
        <v>0</v>
      </c>
      <c r="M307" s="54" t="s">
        <v>557</v>
      </c>
      <c r="P307" s="57">
        <f>IF(AG307="5",J307,0)</f>
        <v>0</v>
      </c>
      <c r="R307" s="57">
        <f>IF(AG307="1",H307,0)</f>
        <v>0</v>
      </c>
      <c r="S307" s="57">
        <f>IF(AG307="1",I307,0)</f>
        <v>0</v>
      </c>
      <c r="T307" s="57">
        <f>IF(AG307="7",H307,0)</f>
        <v>0</v>
      </c>
      <c r="U307" s="57">
        <f>IF(AG307="7",I307,0)</f>
        <v>0</v>
      </c>
      <c r="V307" s="57">
        <f>IF(AG307="2",H307,0)</f>
        <v>0</v>
      </c>
      <c r="W307" s="57">
        <f>IF(AG307="2",I307,0)</f>
        <v>0</v>
      </c>
      <c r="X307" s="57">
        <f>IF(AG307="0",J307,0)</f>
        <v>0</v>
      </c>
      <c r="Y307" s="48"/>
      <c r="Z307" s="32">
        <f>IF(AD307=0,J307,0)</f>
        <v>0</v>
      </c>
      <c r="AA307" s="32">
        <f>IF(AD307=15,J307,0)</f>
        <v>0</v>
      </c>
      <c r="AB307" s="32">
        <f>IF(AD307=21,J307,0)</f>
        <v>0</v>
      </c>
      <c r="AD307" s="57">
        <v>21</v>
      </c>
      <c r="AE307" s="57">
        <f>G307*0.00934994261314238</f>
        <v>0</v>
      </c>
      <c r="AF307" s="57">
        <f>G307*(1-0.00934994261314238)</f>
        <v>0</v>
      </c>
      <c r="AG307" s="54" t="s">
        <v>11</v>
      </c>
      <c r="AM307" s="57">
        <f>F307*AE307</f>
        <v>0</v>
      </c>
      <c r="AN307" s="57">
        <f>F307*AF307</f>
        <v>0</v>
      </c>
      <c r="AO307" s="58" t="s">
        <v>590</v>
      </c>
      <c r="AP307" s="58" t="s">
        <v>599</v>
      </c>
      <c r="AQ307" s="48" t="s">
        <v>600</v>
      </c>
      <c r="AS307" s="57">
        <f>AM307+AN307</f>
        <v>0</v>
      </c>
      <c r="AT307" s="57">
        <f>G307/(100-AU307)*100</f>
        <v>0</v>
      </c>
      <c r="AU307" s="57">
        <v>0</v>
      </c>
      <c r="AV307" s="57">
        <f>L307</f>
        <v>0</v>
      </c>
    </row>
    <row r="308" spans="4:6" ht="12.75">
      <c r="D308" s="27" t="s">
        <v>514</v>
      </c>
      <c r="F308" s="33">
        <v>50.563</v>
      </c>
    </row>
    <row r="309" spans="1:48" ht="12.75">
      <c r="A309" s="10" t="s">
        <v>111</v>
      </c>
      <c r="B309" s="10"/>
      <c r="C309" s="10" t="s">
        <v>234</v>
      </c>
      <c r="D309" s="10" t="s">
        <v>515</v>
      </c>
      <c r="E309" s="10" t="s">
        <v>529</v>
      </c>
      <c r="F309" s="32">
        <v>2022.52</v>
      </c>
      <c r="G309" s="32">
        <v>0</v>
      </c>
      <c r="H309" s="32">
        <f>F309*AE309</f>
        <v>0</v>
      </c>
      <c r="I309" s="32">
        <f>J309-H309</f>
        <v>0</v>
      </c>
      <c r="J309" s="32">
        <f>F309*G309</f>
        <v>0</v>
      </c>
      <c r="K309" s="32">
        <v>0</v>
      </c>
      <c r="L309" s="32">
        <f>F309*K309</f>
        <v>0</v>
      </c>
      <c r="M309" s="54" t="s">
        <v>557</v>
      </c>
      <c r="P309" s="57">
        <f>IF(AG309="5",J309,0)</f>
        <v>0</v>
      </c>
      <c r="R309" s="57">
        <f>IF(AG309="1",H309,0)</f>
        <v>0</v>
      </c>
      <c r="S309" s="57">
        <f>IF(AG309="1",I309,0)</f>
        <v>0</v>
      </c>
      <c r="T309" s="57">
        <f>IF(AG309="7",H309,0)</f>
        <v>0</v>
      </c>
      <c r="U309" s="57">
        <f>IF(AG309="7",I309,0)</f>
        <v>0</v>
      </c>
      <c r="V309" s="57">
        <f>IF(AG309="2",H309,0)</f>
        <v>0</v>
      </c>
      <c r="W309" s="57">
        <f>IF(AG309="2",I309,0)</f>
        <v>0</v>
      </c>
      <c r="X309" s="57">
        <f>IF(AG309="0",J309,0)</f>
        <v>0</v>
      </c>
      <c r="Y309" s="48"/>
      <c r="Z309" s="32">
        <f>IF(AD309=0,J309,0)</f>
        <v>0</v>
      </c>
      <c r="AA309" s="32">
        <f>IF(AD309=15,J309,0)</f>
        <v>0</v>
      </c>
      <c r="AB309" s="32">
        <f>IF(AD309=21,J309,0)</f>
        <v>0</v>
      </c>
      <c r="AD309" s="57">
        <v>21</v>
      </c>
      <c r="AE309" s="57">
        <f>G309*0</f>
        <v>0</v>
      </c>
      <c r="AF309" s="57">
        <f>G309*(1-0)</f>
        <v>0</v>
      </c>
      <c r="AG309" s="54" t="s">
        <v>11</v>
      </c>
      <c r="AM309" s="57">
        <f>F309*AE309</f>
        <v>0</v>
      </c>
      <c r="AN309" s="57">
        <f>F309*AF309</f>
        <v>0</v>
      </c>
      <c r="AO309" s="58" t="s">
        <v>590</v>
      </c>
      <c r="AP309" s="58" t="s">
        <v>599</v>
      </c>
      <c r="AQ309" s="48" t="s">
        <v>600</v>
      </c>
      <c r="AS309" s="57">
        <f>AM309+AN309</f>
        <v>0</v>
      </c>
      <c r="AT309" s="57">
        <f>G309/(100-AU309)*100</f>
        <v>0</v>
      </c>
      <c r="AU309" s="57">
        <v>0</v>
      </c>
      <c r="AV309" s="57">
        <f>L309</f>
        <v>0</v>
      </c>
    </row>
    <row r="310" spans="4:6" ht="12.75">
      <c r="D310" s="27" t="s">
        <v>516</v>
      </c>
      <c r="F310" s="33">
        <v>2022.52</v>
      </c>
    </row>
    <row r="311" spans="1:48" ht="12.75">
      <c r="A311" s="10" t="s">
        <v>112</v>
      </c>
      <c r="B311" s="10"/>
      <c r="C311" s="10" t="s">
        <v>235</v>
      </c>
      <c r="D311" s="10" t="s">
        <v>517</v>
      </c>
      <c r="E311" s="10" t="s">
        <v>529</v>
      </c>
      <c r="F311" s="32">
        <v>50.563</v>
      </c>
      <c r="G311" s="32">
        <v>0</v>
      </c>
      <c r="H311" s="32">
        <f>F311*AE311</f>
        <v>0</v>
      </c>
      <c r="I311" s="32">
        <f>J311-H311</f>
        <v>0</v>
      </c>
      <c r="J311" s="32">
        <f>F311*G311</f>
        <v>0</v>
      </c>
      <c r="K311" s="32">
        <v>0</v>
      </c>
      <c r="L311" s="32">
        <f>F311*K311</f>
        <v>0</v>
      </c>
      <c r="M311" s="54" t="s">
        <v>557</v>
      </c>
      <c r="P311" s="57">
        <f>IF(AG311="5",J311,0)</f>
        <v>0</v>
      </c>
      <c r="R311" s="57">
        <f>IF(AG311="1",H311,0)</f>
        <v>0</v>
      </c>
      <c r="S311" s="57">
        <f>IF(AG311="1",I311,0)</f>
        <v>0</v>
      </c>
      <c r="T311" s="57">
        <f>IF(AG311="7",H311,0)</f>
        <v>0</v>
      </c>
      <c r="U311" s="57">
        <f>IF(AG311="7",I311,0)</f>
        <v>0</v>
      </c>
      <c r="V311" s="57">
        <f>IF(AG311="2",H311,0)</f>
        <v>0</v>
      </c>
      <c r="W311" s="57">
        <f>IF(AG311="2",I311,0)</f>
        <v>0</v>
      </c>
      <c r="X311" s="57">
        <f>IF(AG311="0",J311,0)</f>
        <v>0</v>
      </c>
      <c r="Y311" s="48"/>
      <c r="Z311" s="32">
        <f>IF(AD311=0,J311,0)</f>
        <v>0</v>
      </c>
      <c r="AA311" s="32">
        <f>IF(AD311=15,J311,0)</f>
        <v>0</v>
      </c>
      <c r="AB311" s="32">
        <f>IF(AD311=21,J311,0)</f>
        <v>0</v>
      </c>
      <c r="AD311" s="57">
        <v>21</v>
      </c>
      <c r="AE311" s="57">
        <f>G311*0</f>
        <v>0</v>
      </c>
      <c r="AF311" s="57">
        <f>G311*(1-0)</f>
        <v>0</v>
      </c>
      <c r="AG311" s="54" t="s">
        <v>11</v>
      </c>
      <c r="AM311" s="57">
        <f>F311*AE311</f>
        <v>0</v>
      </c>
      <c r="AN311" s="57">
        <f>F311*AF311</f>
        <v>0</v>
      </c>
      <c r="AO311" s="58" t="s">
        <v>590</v>
      </c>
      <c r="AP311" s="58" t="s">
        <v>599</v>
      </c>
      <c r="AQ311" s="48" t="s">
        <v>600</v>
      </c>
      <c r="AS311" s="57">
        <f>AM311+AN311</f>
        <v>0</v>
      </c>
      <c r="AT311" s="57">
        <f>G311/(100-AU311)*100</f>
        <v>0</v>
      </c>
      <c r="AU311" s="57">
        <v>0</v>
      </c>
      <c r="AV311" s="57">
        <f>L311</f>
        <v>0</v>
      </c>
    </row>
    <row r="312" spans="4:6" ht="12.75">
      <c r="D312" s="27" t="s">
        <v>514</v>
      </c>
      <c r="F312" s="33">
        <v>50.563</v>
      </c>
    </row>
    <row r="313" spans="1:48" ht="12.75">
      <c r="A313" s="10" t="s">
        <v>113</v>
      </c>
      <c r="B313" s="10"/>
      <c r="C313" s="10" t="s">
        <v>236</v>
      </c>
      <c r="D313" s="10" t="s">
        <v>518</v>
      </c>
      <c r="E313" s="10" t="s">
        <v>529</v>
      </c>
      <c r="F313" s="32">
        <v>43.503</v>
      </c>
      <c r="G313" s="32">
        <v>0</v>
      </c>
      <c r="H313" s="32">
        <f>F313*AE313</f>
        <v>0</v>
      </c>
      <c r="I313" s="32">
        <f>J313-H313</f>
        <v>0</v>
      </c>
      <c r="J313" s="32">
        <f>F313*G313</f>
        <v>0</v>
      </c>
      <c r="K313" s="32">
        <v>0</v>
      </c>
      <c r="L313" s="32">
        <f>F313*K313</f>
        <v>0</v>
      </c>
      <c r="M313" s="54" t="s">
        <v>557</v>
      </c>
      <c r="P313" s="57">
        <f>IF(AG313="5",J313,0)</f>
        <v>0</v>
      </c>
      <c r="R313" s="57">
        <f>IF(AG313="1",H313,0)</f>
        <v>0</v>
      </c>
      <c r="S313" s="57">
        <f>IF(AG313="1",I313,0)</f>
        <v>0</v>
      </c>
      <c r="T313" s="57">
        <f>IF(AG313="7",H313,0)</f>
        <v>0</v>
      </c>
      <c r="U313" s="57">
        <f>IF(AG313="7",I313,0)</f>
        <v>0</v>
      </c>
      <c r="V313" s="57">
        <f>IF(AG313="2",H313,0)</f>
        <v>0</v>
      </c>
      <c r="W313" s="57">
        <f>IF(AG313="2",I313,0)</f>
        <v>0</v>
      </c>
      <c r="X313" s="57">
        <f>IF(AG313="0",J313,0)</f>
        <v>0</v>
      </c>
      <c r="Y313" s="48"/>
      <c r="Z313" s="32">
        <f>IF(AD313=0,J313,0)</f>
        <v>0</v>
      </c>
      <c r="AA313" s="32">
        <f>IF(AD313=15,J313,0)</f>
        <v>0</v>
      </c>
      <c r="AB313" s="32">
        <f>IF(AD313=21,J313,0)</f>
        <v>0</v>
      </c>
      <c r="AD313" s="57">
        <v>21</v>
      </c>
      <c r="AE313" s="57">
        <f>G313*0</f>
        <v>0</v>
      </c>
      <c r="AF313" s="57">
        <f>G313*(1-0)</f>
        <v>0</v>
      </c>
      <c r="AG313" s="54" t="s">
        <v>11</v>
      </c>
      <c r="AM313" s="57">
        <f>F313*AE313</f>
        <v>0</v>
      </c>
      <c r="AN313" s="57">
        <f>F313*AF313</f>
        <v>0</v>
      </c>
      <c r="AO313" s="58" t="s">
        <v>590</v>
      </c>
      <c r="AP313" s="58" t="s">
        <v>599</v>
      </c>
      <c r="AQ313" s="48" t="s">
        <v>600</v>
      </c>
      <c r="AS313" s="57">
        <f>AM313+AN313</f>
        <v>0</v>
      </c>
      <c r="AT313" s="57">
        <f>G313/(100-AU313)*100</f>
        <v>0</v>
      </c>
      <c r="AU313" s="57">
        <v>0</v>
      </c>
      <c r="AV313" s="57">
        <f>L313</f>
        <v>0</v>
      </c>
    </row>
    <row r="314" spans="4:6" ht="12.75">
      <c r="D314" s="27" t="s">
        <v>519</v>
      </c>
      <c r="F314" s="33">
        <v>43.503</v>
      </c>
    </row>
    <row r="315" spans="1:48" ht="12.75">
      <c r="A315" s="10" t="s">
        <v>114</v>
      </c>
      <c r="B315" s="10"/>
      <c r="C315" s="10" t="s">
        <v>237</v>
      </c>
      <c r="D315" s="10" t="s">
        <v>520</v>
      </c>
      <c r="E315" s="10" t="s">
        <v>529</v>
      </c>
      <c r="F315" s="32">
        <v>4.824</v>
      </c>
      <c r="G315" s="32">
        <v>0</v>
      </c>
      <c r="H315" s="32">
        <f>F315*AE315</f>
        <v>0</v>
      </c>
      <c r="I315" s="32">
        <f>J315-H315</f>
        <v>0</v>
      </c>
      <c r="J315" s="32">
        <f>F315*G315</f>
        <v>0</v>
      </c>
      <c r="K315" s="32">
        <v>0</v>
      </c>
      <c r="L315" s="32">
        <f>F315*K315</f>
        <v>0</v>
      </c>
      <c r="M315" s="54" t="s">
        <v>557</v>
      </c>
      <c r="P315" s="57">
        <f>IF(AG315="5",J315,0)</f>
        <v>0</v>
      </c>
      <c r="R315" s="57">
        <f>IF(AG315="1",H315,0)</f>
        <v>0</v>
      </c>
      <c r="S315" s="57">
        <f>IF(AG315="1",I315,0)</f>
        <v>0</v>
      </c>
      <c r="T315" s="57">
        <f>IF(AG315="7",H315,0)</f>
        <v>0</v>
      </c>
      <c r="U315" s="57">
        <f>IF(AG315="7",I315,0)</f>
        <v>0</v>
      </c>
      <c r="V315" s="57">
        <f>IF(AG315="2",H315,0)</f>
        <v>0</v>
      </c>
      <c r="W315" s="57">
        <f>IF(AG315="2",I315,0)</f>
        <v>0</v>
      </c>
      <c r="X315" s="57">
        <f>IF(AG315="0",J315,0)</f>
        <v>0</v>
      </c>
      <c r="Y315" s="48"/>
      <c r="Z315" s="32">
        <f>IF(AD315=0,J315,0)</f>
        <v>0</v>
      </c>
      <c r="AA315" s="32">
        <f>IF(AD315=15,J315,0)</f>
        <v>0</v>
      </c>
      <c r="AB315" s="32">
        <f>IF(AD315=21,J315,0)</f>
        <v>0</v>
      </c>
      <c r="AD315" s="57">
        <v>21</v>
      </c>
      <c r="AE315" s="57">
        <f>G315*0</f>
        <v>0</v>
      </c>
      <c r="AF315" s="57">
        <f>G315*(1-0)</f>
        <v>0</v>
      </c>
      <c r="AG315" s="54" t="s">
        <v>11</v>
      </c>
      <c r="AM315" s="57">
        <f>F315*AE315</f>
        <v>0</v>
      </c>
      <c r="AN315" s="57">
        <f>F315*AF315</f>
        <v>0</v>
      </c>
      <c r="AO315" s="58" t="s">
        <v>590</v>
      </c>
      <c r="AP315" s="58" t="s">
        <v>599</v>
      </c>
      <c r="AQ315" s="48" t="s">
        <v>600</v>
      </c>
      <c r="AS315" s="57">
        <f>AM315+AN315</f>
        <v>0</v>
      </c>
      <c r="AT315" s="57">
        <f>G315/(100-AU315)*100</f>
        <v>0</v>
      </c>
      <c r="AU315" s="57">
        <v>0</v>
      </c>
      <c r="AV315" s="57">
        <f>L315</f>
        <v>0</v>
      </c>
    </row>
    <row r="316" spans="4:6" ht="12.75">
      <c r="D316" s="27" t="s">
        <v>521</v>
      </c>
      <c r="F316" s="33">
        <v>4.824</v>
      </c>
    </row>
    <row r="317" spans="1:48" ht="12.75">
      <c r="A317" s="10" t="s">
        <v>115</v>
      </c>
      <c r="B317" s="10"/>
      <c r="C317" s="10" t="s">
        <v>238</v>
      </c>
      <c r="D317" s="10" t="s">
        <v>522</v>
      </c>
      <c r="E317" s="10" t="s">
        <v>529</v>
      </c>
      <c r="F317" s="32">
        <v>2.216</v>
      </c>
      <c r="G317" s="32">
        <v>0</v>
      </c>
      <c r="H317" s="32">
        <f>F317*AE317</f>
        <v>0</v>
      </c>
      <c r="I317" s="32">
        <f>J317-H317</f>
        <v>0</v>
      </c>
      <c r="J317" s="32">
        <f>F317*G317</f>
        <v>0</v>
      </c>
      <c r="K317" s="32">
        <v>0</v>
      </c>
      <c r="L317" s="32">
        <f>F317*K317</f>
        <v>0</v>
      </c>
      <c r="M317" s="54" t="s">
        <v>557</v>
      </c>
      <c r="P317" s="57">
        <f>IF(AG317="5",J317,0)</f>
        <v>0</v>
      </c>
      <c r="R317" s="57">
        <f>IF(AG317="1",H317,0)</f>
        <v>0</v>
      </c>
      <c r="S317" s="57">
        <f>IF(AG317="1",I317,0)</f>
        <v>0</v>
      </c>
      <c r="T317" s="57">
        <f>IF(AG317="7",H317,0)</f>
        <v>0</v>
      </c>
      <c r="U317" s="57">
        <f>IF(AG317="7",I317,0)</f>
        <v>0</v>
      </c>
      <c r="V317" s="57">
        <f>IF(AG317="2",H317,0)</f>
        <v>0</v>
      </c>
      <c r="W317" s="57">
        <f>IF(AG317="2",I317,0)</f>
        <v>0</v>
      </c>
      <c r="X317" s="57">
        <f>IF(AG317="0",J317,0)</f>
        <v>0</v>
      </c>
      <c r="Y317" s="48"/>
      <c r="Z317" s="32">
        <f>IF(AD317=0,J317,0)</f>
        <v>0</v>
      </c>
      <c r="AA317" s="32">
        <f>IF(AD317=15,J317,0)</f>
        <v>0</v>
      </c>
      <c r="AB317" s="32">
        <f>IF(AD317=21,J317,0)</f>
        <v>0</v>
      </c>
      <c r="AD317" s="57">
        <v>21</v>
      </c>
      <c r="AE317" s="57">
        <f>G317*0</f>
        <v>0</v>
      </c>
      <c r="AF317" s="57">
        <f>G317*(1-0)</f>
        <v>0</v>
      </c>
      <c r="AG317" s="54" t="s">
        <v>11</v>
      </c>
      <c r="AM317" s="57">
        <f>F317*AE317</f>
        <v>0</v>
      </c>
      <c r="AN317" s="57">
        <f>F317*AF317</f>
        <v>0</v>
      </c>
      <c r="AO317" s="58" t="s">
        <v>590</v>
      </c>
      <c r="AP317" s="58" t="s">
        <v>599</v>
      </c>
      <c r="AQ317" s="48" t="s">
        <v>600</v>
      </c>
      <c r="AS317" s="57">
        <f>AM317+AN317</f>
        <v>0</v>
      </c>
      <c r="AT317" s="57">
        <f>G317/(100-AU317)*100</f>
        <v>0</v>
      </c>
      <c r="AU317" s="57">
        <v>0</v>
      </c>
      <c r="AV317" s="57">
        <f>L317</f>
        <v>0</v>
      </c>
    </row>
    <row r="318" spans="1:13" ht="12.75">
      <c r="A318" s="13"/>
      <c r="B318" s="13"/>
      <c r="C318" s="13"/>
      <c r="D318" s="28" t="s">
        <v>523</v>
      </c>
      <c r="E318" s="13"/>
      <c r="F318" s="35">
        <v>2.216</v>
      </c>
      <c r="G318" s="13"/>
      <c r="H318" s="13"/>
      <c r="I318" s="13"/>
      <c r="J318" s="13"/>
      <c r="K318" s="13"/>
      <c r="L318" s="13"/>
      <c r="M318" s="13"/>
    </row>
    <row r="319" spans="1:13" ht="12.75">
      <c r="A319" s="14"/>
      <c r="B319" s="14"/>
      <c r="C319" s="14"/>
      <c r="D319" s="14"/>
      <c r="E319" s="14"/>
      <c r="F319" s="14"/>
      <c r="G319" s="14"/>
      <c r="H319" s="40" t="s">
        <v>543</v>
      </c>
      <c r="I319" s="44"/>
      <c r="J319" s="61">
        <f>J12+J30+J38+J46+J49+J52+J60+J71+J85+J100+J120+J123+J145+J168+J203+J217+J220+J227+J232+J244+J265+J296+J299+J302</f>
        <v>0</v>
      </c>
      <c r="K319" s="14"/>
      <c r="L319" s="14"/>
      <c r="M319" s="14"/>
    </row>
    <row r="320" ht="11.25" customHeight="1">
      <c r="A320" s="15" t="s">
        <v>116</v>
      </c>
    </row>
    <row r="321" spans="1:13" ht="12.75">
      <c r="A321" s="16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319:I319"/>
    <mergeCell ref="A321:M32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12" t="s">
        <v>601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4" t="str">
        <f>'Stavební rozpočet'!D2</f>
        <v>STAVEBNÍ ÚPRAVY NA ČÁSTI BUDOVY</v>
      </c>
      <c r="C2" s="44"/>
      <c r="D2" s="41" t="s">
        <v>544</v>
      </c>
      <c r="E2" s="41" t="str">
        <f>'Stavební rozpočet'!J2</f>
        <v>MĚSTO RUMBURK</v>
      </c>
      <c r="F2" s="14"/>
      <c r="G2" s="49"/>
      <c r="H2" s="4"/>
    </row>
    <row r="3" spans="1:8" ht="12.75">
      <c r="A3" s="4"/>
      <c r="B3" s="25"/>
      <c r="C3" s="25"/>
      <c r="D3" s="18"/>
      <c r="E3" s="18"/>
      <c r="F3" s="18"/>
      <c r="G3" s="50"/>
      <c r="H3" s="4"/>
    </row>
    <row r="4" spans="1:8" ht="12.75">
      <c r="A4" s="5" t="s">
        <v>2</v>
      </c>
      <c r="B4" s="16" t="str">
        <f>'Stavební rozpočet'!D4</f>
        <v>ARCHIV</v>
      </c>
      <c r="C4" s="18"/>
      <c r="D4" s="16" t="s">
        <v>545</v>
      </c>
      <c r="E4" s="16" t="str">
        <f>'Stavební rozpočet'!J4</f>
        <v>LADISLAV ALBRECHT DIS</v>
      </c>
      <c r="F4" s="18"/>
      <c r="G4" s="50"/>
      <c r="H4" s="4"/>
    </row>
    <row r="5" spans="1:8" ht="12.75">
      <c r="A5" s="4"/>
      <c r="B5" s="18"/>
      <c r="C5" s="18"/>
      <c r="D5" s="18"/>
      <c r="E5" s="18"/>
      <c r="F5" s="18"/>
      <c r="G5" s="50"/>
      <c r="H5" s="4"/>
    </row>
    <row r="6" spans="1:8" ht="12.75">
      <c r="A6" s="5" t="s">
        <v>3</v>
      </c>
      <c r="B6" s="16" t="str">
        <f>'Stavební rozpočet'!D6</f>
        <v>RUMBURK TŘ.9.KVĚTNA Č.P.1051</v>
      </c>
      <c r="C6" s="18"/>
      <c r="D6" s="16" t="s">
        <v>546</v>
      </c>
      <c r="E6" s="16" t="str">
        <f>'Stavební rozpočet'!J6</f>
        <v>BUDE VYBRÁN</v>
      </c>
      <c r="F6" s="18"/>
      <c r="G6" s="50"/>
      <c r="H6" s="4"/>
    </row>
    <row r="7" spans="1:8" ht="12.75">
      <c r="A7" s="4"/>
      <c r="B7" s="18"/>
      <c r="C7" s="18"/>
      <c r="D7" s="18"/>
      <c r="E7" s="18"/>
      <c r="F7" s="18"/>
      <c r="G7" s="50"/>
      <c r="H7" s="4"/>
    </row>
    <row r="8" spans="1:8" ht="12.75">
      <c r="A8" s="5" t="s">
        <v>547</v>
      </c>
      <c r="B8" s="16" t="str">
        <f>'Stavební rozpočet'!J8</f>
        <v>IIČVDF</v>
      </c>
      <c r="C8" s="18"/>
      <c r="D8" s="30" t="s">
        <v>527</v>
      </c>
      <c r="E8" s="16" t="str">
        <f>'Stavební rozpočet'!G8</f>
        <v>21.02.2018</v>
      </c>
      <c r="F8" s="18"/>
      <c r="G8" s="50"/>
      <c r="H8" s="4"/>
    </row>
    <row r="9" spans="1:8" ht="12.75">
      <c r="A9" s="6"/>
      <c r="B9" s="19"/>
      <c r="C9" s="19"/>
      <c r="D9" s="19"/>
      <c r="E9" s="19"/>
      <c r="F9" s="19"/>
      <c r="G9" s="51"/>
      <c r="H9" s="4"/>
    </row>
    <row r="10" spans="1:8" ht="12.75">
      <c r="A10" s="62" t="s">
        <v>117</v>
      </c>
      <c r="B10" s="64" t="s">
        <v>118</v>
      </c>
      <c r="C10" s="65" t="s">
        <v>242</v>
      </c>
      <c r="D10" s="66" t="s">
        <v>602</v>
      </c>
      <c r="E10" s="66" t="s">
        <v>603</v>
      </c>
      <c r="F10" s="66" t="s">
        <v>604</v>
      </c>
      <c r="G10" s="68" t="s">
        <v>605</v>
      </c>
      <c r="H10" s="56"/>
    </row>
    <row r="11" spans="1:9" ht="12.75">
      <c r="A11" s="63"/>
      <c r="B11" s="63" t="s">
        <v>37</v>
      </c>
      <c r="C11" s="63" t="s">
        <v>244</v>
      </c>
      <c r="D11" s="69">
        <f>'Stavební rozpočet'!H12</f>
        <v>0</v>
      </c>
      <c r="E11" s="69">
        <f>'Stavební rozpočet'!I12</f>
        <v>0</v>
      </c>
      <c r="F11" s="69">
        <f>D11+E11</f>
        <v>0</v>
      </c>
      <c r="G11" s="69">
        <f>'Stavební rozpočet'!L12</f>
        <v>17.1673356843</v>
      </c>
      <c r="H11" s="57" t="s">
        <v>606</v>
      </c>
      <c r="I11" s="57">
        <f>IF(H11="F",0,F11)</f>
        <v>0</v>
      </c>
    </row>
    <row r="12" spans="1:9" ht="12.75">
      <c r="A12" s="30"/>
      <c r="B12" s="30" t="s">
        <v>40</v>
      </c>
      <c r="C12" s="30" t="s">
        <v>261</v>
      </c>
      <c r="D12" s="57">
        <f>'Stavební rozpočet'!H30</f>
        <v>0</v>
      </c>
      <c r="E12" s="57">
        <f>'Stavební rozpočet'!I30</f>
        <v>0</v>
      </c>
      <c r="F12" s="57">
        <f>D12+E12</f>
        <v>0</v>
      </c>
      <c r="G12" s="57">
        <f>'Stavební rozpočet'!L30</f>
        <v>6.873129002</v>
      </c>
      <c r="H12" s="57" t="s">
        <v>606</v>
      </c>
      <c r="I12" s="57">
        <f>IF(H12="F",0,F12)</f>
        <v>0</v>
      </c>
    </row>
    <row r="13" spans="1:9" ht="12.75">
      <c r="A13" s="30"/>
      <c r="B13" s="30" t="s">
        <v>47</v>
      </c>
      <c r="C13" s="30" t="s">
        <v>269</v>
      </c>
      <c r="D13" s="57">
        <f>'Stavební rozpočet'!H38</f>
        <v>0</v>
      </c>
      <c r="E13" s="57">
        <f>'Stavební rozpočet'!I38</f>
        <v>0</v>
      </c>
      <c r="F13" s="57">
        <f>D13+E13</f>
        <v>0</v>
      </c>
      <c r="G13" s="57">
        <f>'Stavební rozpočet'!L38</f>
        <v>8.192448944999999</v>
      </c>
      <c r="H13" s="57" t="s">
        <v>606</v>
      </c>
      <c r="I13" s="57">
        <f>IF(H13="F",0,F13)</f>
        <v>0</v>
      </c>
    </row>
    <row r="14" spans="1:9" ht="12.75">
      <c r="A14" s="30"/>
      <c r="B14" s="30" t="s">
        <v>49</v>
      </c>
      <c r="C14" s="30" t="s">
        <v>277</v>
      </c>
      <c r="D14" s="57">
        <f>'Stavební rozpočet'!H46</f>
        <v>0</v>
      </c>
      <c r="E14" s="57">
        <f>'Stavební rozpočet'!I46</f>
        <v>0</v>
      </c>
      <c r="F14" s="57">
        <f>D14+E14</f>
        <v>0</v>
      </c>
      <c r="G14" s="57">
        <f>'Stavební rozpočet'!L46</f>
        <v>0.03457</v>
      </c>
      <c r="H14" s="57" t="s">
        <v>606</v>
      </c>
      <c r="I14" s="57">
        <f>IF(H14="F",0,F14)</f>
        <v>0</v>
      </c>
    </row>
    <row r="15" spans="1:9" ht="12.75">
      <c r="A15" s="30"/>
      <c r="B15" s="30" t="s">
        <v>66</v>
      </c>
      <c r="C15" s="30" t="s">
        <v>280</v>
      </c>
      <c r="D15" s="57">
        <f>'Stavební rozpočet'!H49</f>
        <v>0</v>
      </c>
      <c r="E15" s="57">
        <f>'Stavební rozpočet'!I49</f>
        <v>0</v>
      </c>
      <c r="F15" s="57">
        <f>D15+E15</f>
        <v>0</v>
      </c>
      <c r="G15" s="57">
        <f>'Stavební rozpočet'!L49</f>
        <v>0.3348</v>
      </c>
      <c r="H15" s="57" t="s">
        <v>606</v>
      </c>
      <c r="I15" s="57">
        <f>IF(H15="F",0,F15)</f>
        <v>0</v>
      </c>
    </row>
    <row r="16" spans="1:9" ht="12.75">
      <c r="A16" s="30"/>
      <c r="B16" s="30" t="s">
        <v>67</v>
      </c>
      <c r="C16" s="30" t="s">
        <v>283</v>
      </c>
      <c r="D16" s="57">
        <f>'Stavební rozpočet'!H52</f>
        <v>0</v>
      </c>
      <c r="E16" s="57">
        <f>'Stavební rozpočet'!I52</f>
        <v>0</v>
      </c>
      <c r="F16" s="57">
        <f>D16+E16</f>
        <v>0</v>
      </c>
      <c r="G16" s="57">
        <f>'Stavební rozpočet'!L52</f>
        <v>21.41976603</v>
      </c>
      <c r="H16" s="57" t="s">
        <v>606</v>
      </c>
      <c r="I16" s="57">
        <f>IF(H16="F",0,F16)</f>
        <v>0</v>
      </c>
    </row>
    <row r="17" spans="1:9" ht="12.75">
      <c r="A17" s="30"/>
      <c r="B17" s="30" t="s">
        <v>68</v>
      </c>
      <c r="C17" s="30" t="s">
        <v>291</v>
      </c>
      <c r="D17" s="57">
        <f>'Stavební rozpočet'!H60</f>
        <v>0</v>
      </c>
      <c r="E17" s="57">
        <f>'Stavební rozpočet'!I60</f>
        <v>0</v>
      </c>
      <c r="F17" s="57">
        <f>D17+E17</f>
        <v>0</v>
      </c>
      <c r="G17" s="57">
        <f>'Stavební rozpočet'!L60</f>
        <v>7.973109844000001</v>
      </c>
      <c r="H17" s="57" t="s">
        <v>606</v>
      </c>
      <c r="I17" s="57">
        <f>IF(H17="F",0,F17)</f>
        <v>0</v>
      </c>
    </row>
    <row r="18" spans="1:9" ht="12.75">
      <c r="A18" s="30"/>
      <c r="B18" s="30" t="s">
        <v>69</v>
      </c>
      <c r="C18" s="30" t="s">
        <v>302</v>
      </c>
      <c r="D18" s="57">
        <f>'Stavební rozpočet'!H71</f>
        <v>0</v>
      </c>
      <c r="E18" s="57">
        <f>'Stavební rozpočet'!I71</f>
        <v>0</v>
      </c>
      <c r="F18" s="57">
        <f>D18+E18</f>
        <v>0</v>
      </c>
      <c r="G18" s="57">
        <f>'Stavební rozpočet'!L71</f>
        <v>166.600699135</v>
      </c>
      <c r="H18" s="57" t="s">
        <v>606</v>
      </c>
      <c r="I18" s="57">
        <f>IF(H18="F",0,F18)</f>
        <v>0</v>
      </c>
    </row>
    <row r="19" spans="1:9" ht="12.75">
      <c r="A19" s="30"/>
      <c r="B19" s="30" t="s">
        <v>138</v>
      </c>
      <c r="C19" s="30" t="s">
        <v>316</v>
      </c>
      <c r="D19" s="57">
        <f>'Stavební rozpočet'!H85</f>
        <v>0</v>
      </c>
      <c r="E19" s="57">
        <f>'Stavební rozpočet'!I85</f>
        <v>0</v>
      </c>
      <c r="F19" s="57">
        <f>D19+E19</f>
        <v>0</v>
      </c>
      <c r="G19" s="57">
        <f>'Stavební rozpočet'!L85</f>
        <v>3.809724229</v>
      </c>
      <c r="H19" s="57" t="s">
        <v>606</v>
      </c>
      <c r="I19" s="57">
        <f>IF(H19="F",0,F19)</f>
        <v>0</v>
      </c>
    </row>
    <row r="20" spans="1:9" ht="12.75">
      <c r="A20" s="30"/>
      <c r="B20" s="30" t="s">
        <v>145</v>
      </c>
      <c r="C20" s="30" t="s">
        <v>328</v>
      </c>
      <c r="D20" s="57">
        <f>'Stavební rozpočet'!H100</f>
        <v>0</v>
      </c>
      <c r="E20" s="57">
        <f>'Stavební rozpočet'!I100</f>
        <v>0</v>
      </c>
      <c r="F20" s="57">
        <f>D20+E20</f>
        <v>0</v>
      </c>
      <c r="G20" s="57">
        <f>'Stavební rozpočet'!L100</f>
        <v>2.31548856</v>
      </c>
      <c r="H20" s="57" t="s">
        <v>606</v>
      </c>
      <c r="I20" s="57">
        <f>IF(H20="F",0,F20)</f>
        <v>0</v>
      </c>
    </row>
    <row r="21" spans="1:9" ht="12.75">
      <c r="A21" s="30"/>
      <c r="B21" s="30" t="s">
        <v>154</v>
      </c>
      <c r="C21" s="30" t="s">
        <v>348</v>
      </c>
      <c r="D21" s="57">
        <f>'Stavební rozpočet'!H120</f>
        <v>0</v>
      </c>
      <c r="E21" s="57">
        <f>'Stavební rozpočet'!I120</f>
        <v>0</v>
      </c>
      <c r="F21" s="57">
        <f>D21+E21</f>
        <v>0</v>
      </c>
      <c r="G21" s="57">
        <f>'Stavební rozpočet'!L120</f>
        <v>0.02132</v>
      </c>
      <c r="H21" s="57" t="s">
        <v>606</v>
      </c>
      <c r="I21" s="57">
        <f>IF(H21="F",0,F21)</f>
        <v>0</v>
      </c>
    </row>
    <row r="22" spans="1:9" ht="12.75">
      <c r="A22" s="30"/>
      <c r="B22" s="30" t="s">
        <v>156</v>
      </c>
      <c r="C22" s="30" t="s">
        <v>350</v>
      </c>
      <c r="D22" s="57">
        <f>'Stavební rozpočet'!H123</f>
        <v>0</v>
      </c>
      <c r="E22" s="57">
        <f>'Stavební rozpočet'!I123</f>
        <v>0</v>
      </c>
      <c r="F22" s="57">
        <f>D22+E22</f>
        <v>0</v>
      </c>
      <c r="G22" s="57">
        <f>'Stavební rozpočet'!L123</f>
        <v>8.368861904</v>
      </c>
      <c r="H22" s="57" t="s">
        <v>606</v>
      </c>
      <c r="I22" s="57">
        <f>IF(H22="F",0,F22)</f>
        <v>0</v>
      </c>
    </row>
    <row r="23" spans="1:9" ht="12.75">
      <c r="A23" s="30"/>
      <c r="B23" s="30" t="s">
        <v>166</v>
      </c>
      <c r="C23" s="30" t="s">
        <v>369</v>
      </c>
      <c r="D23" s="57">
        <f>'Stavební rozpočet'!H145</f>
        <v>0</v>
      </c>
      <c r="E23" s="57">
        <f>'Stavební rozpočet'!I145</f>
        <v>0</v>
      </c>
      <c r="F23" s="57">
        <f>D23+E23</f>
        <v>0</v>
      </c>
      <c r="G23" s="57">
        <f>'Stavební rozpočet'!L145</f>
        <v>0.5036704000000001</v>
      </c>
      <c r="H23" s="57" t="s">
        <v>606</v>
      </c>
      <c r="I23" s="57">
        <f>IF(H23="F",0,F23)</f>
        <v>0</v>
      </c>
    </row>
    <row r="24" spans="1:9" ht="12.75">
      <c r="A24" s="30"/>
      <c r="B24" s="30" t="s">
        <v>176</v>
      </c>
      <c r="C24" s="30" t="s">
        <v>391</v>
      </c>
      <c r="D24" s="57">
        <f>'Stavební rozpočet'!H168</f>
        <v>0</v>
      </c>
      <c r="E24" s="57">
        <f>'Stavební rozpočet'!I168</f>
        <v>0</v>
      </c>
      <c r="F24" s="57">
        <f>D24+E24</f>
        <v>0</v>
      </c>
      <c r="G24" s="57">
        <f>'Stavební rozpočet'!L168</f>
        <v>3.6472709000000005</v>
      </c>
      <c r="H24" s="57" t="s">
        <v>606</v>
      </c>
      <c r="I24" s="57">
        <f>IF(H24="F",0,F24)</f>
        <v>0</v>
      </c>
    </row>
    <row r="25" spans="1:9" ht="12.75">
      <c r="A25" s="30"/>
      <c r="B25" s="30" t="s">
        <v>194</v>
      </c>
      <c r="C25" s="30" t="s">
        <v>417</v>
      </c>
      <c r="D25" s="57">
        <f>'Stavební rozpočet'!H203</f>
        <v>0</v>
      </c>
      <c r="E25" s="57">
        <f>'Stavební rozpočet'!I203</f>
        <v>0</v>
      </c>
      <c r="F25" s="57">
        <f>D25+E25</f>
        <v>0</v>
      </c>
      <c r="G25" s="57">
        <f>'Stavební rozpočet'!L203</f>
        <v>1.0432516</v>
      </c>
      <c r="H25" s="57" t="s">
        <v>606</v>
      </c>
      <c r="I25" s="57">
        <f>IF(H25="F",0,F25)</f>
        <v>0</v>
      </c>
    </row>
    <row r="26" spans="1:9" ht="12.75">
      <c r="A26" s="30"/>
      <c r="B26" s="30" t="s">
        <v>200</v>
      </c>
      <c r="C26" s="30" t="s">
        <v>430</v>
      </c>
      <c r="D26" s="57">
        <f>'Stavební rozpočet'!H217</f>
        <v>0</v>
      </c>
      <c r="E26" s="57">
        <f>'Stavební rozpočet'!I217</f>
        <v>0</v>
      </c>
      <c r="F26" s="57">
        <f>D26+E26</f>
        <v>0</v>
      </c>
      <c r="G26" s="57">
        <f>'Stavební rozpočet'!L217</f>
        <v>0.018800640000000004</v>
      </c>
      <c r="H26" s="57" t="s">
        <v>606</v>
      </c>
      <c r="I26" s="57">
        <f>IF(H26="F",0,F26)</f>
        <v>0</v>
      </c>
    </row>
    <row r="27" spans="1:9" ht="12.75">
      <c r="A27" s="30"/>
      <c r="B27" s="30" t="s">
        <v>202</v>
      </c>
      <c r="C27" s="30" t="s">
        <v>433</v>
      </c>
      <c r="D27" s="57">
        <f>'Stavební rozpočet'!H220</f>
        <v>0</v>
      </c>
      <c r="E27" s="57">
        <f>'Stavební rozpočet'!I220</f>
        <v>0</v>
      </c>
      <c r="F27" s="57">
        <f>D27+E27</f>
        <v>0</v>
      </c>
      <c r="G27" s="57">
        <f>'Stavební rozpočet'!L220</f>
        <v>0.40023719999999996</v>
      </c>
      <c r="H27" s="57" t="s">
        <v>606</v>
      </c>
      <c r="I27" s="57">
        <f>IF(H27="F",0,F27)</f>
        <v>0</v>
      </c>
    </row>
    <row r="28" spans="1:9" ht="12.75">
      <c r="A28" s="30"/>
      <c r="B28" s="30" t="s">
        <v>96</v>
      </c>
      <c r="C28" s="30" t="s">
        <v>440</v>
      </c>
      <c r="D28" s="57">
        <f>'Stavební rozpočet'!H227</f>
        <v>0</v>
      </c>
      <c r="E28" s="57">
        <f>'Stavební rozpočet'!I227</f>
        <v>0</v>
      </c>
      <c r="F28" s="57">
        <f>D28+E28</f>
        <v>0</v>
      </c>
      <c r="G28" s="57">
        <f>'Stavební rozpočet'!L227</f>
        <v>0</v>
      </c>
      <c r="H28" s="57" t="s">
        <v>606</v>
      </c>
      <c r="I28" s="57">
        <f>IF(H28="F",0,F28)</f>
        <v>0</v>
      </c>
    </row>
    <row r="29" spans="1:9" ht="12.75">
      <c r="A29" s="30"/>
      <c r="B29" s="30" t="s">
        <v>100</v>
      </c>
      <c r="C29" s="30" t="s">
        <v>444</v>
      </c>
      <c r="D29" s="57">
        <f>'Stavební rozpočet'!H232</f>
        <v>0</v>
      </c>
      <c r="E29" s="57">
        <f>'Stavební rozpočet'!I232</f>
        <v>0</v>
      </c>
      <c r="F29" s="57">
        <f>D29+E29</f>
        <v>0</v>
      </c>
      <c r="G29" s="57">
        <f>'Stavební rozpočet'!L232</f>
        <v>4.878748000000001</v>
      </c>
      <c r="H29" s="57" t="s">
        <v>606</v>
      </c>
      <c r="I29" s="57">
        <f>IF(H29="F",0,F29)</f>
        <v>0</v>
      </c>
    </row>
    <row r="30" spans="1:9" ht="12.75">
      <c r="A30" s="30"/>
      <c r="B30" s="30" t="s">
        <v>102</v>
      </c>
      <c r="C30" s="30" t="s">
        <v>455</v>
      </c>
      <c r="D30" s="57">
        <f>'Stavební rozpočet'!H244</f>
        <v>0</v>
      </c>
      <c r="E30" s="57">
        <f>'Stavební rozpočet'!I244</f>
        <v>0</v>
      </c>
      <c r="F30" s="57">
        <f>D30+E30</f>
        <v>0</v>
      </c>
      <c r="G30" s="57">
        <f>'Stavební rozpočet'!L244</f>
        <v>6.3862983600000005</v>
      </c>
      <c r="H30" s="57" t="s">
        <v>606</v>
      </c>
      <c r="I30" s="57">
        <f>IF(H30="F",0,F30)</f>
        <v>0</v>
      </c>
    </row>
    <row r="31" spans="1:9" ht="12.75">
      <c r="A31" s="30"/>
      <c r="B31" s="30" t="s">
        <v>103</v>
      </c>
      <c r="C31" s="30" t="s">
        <v>476</v>
      </c>
      <c r="D31" s="57">
        <f>'Stavební rozpočet'!H265</f>
        <v>0</v>
      </c>
      <c r="E31" s="57">
        <f>'Stavební rozpočet'!I265</f>
        <v>0</v>
      </c>
      <c r="F31" s="57">
        <f>D31+E31</f>
        <v>0</v>
      </c>
      <c r="G31" s="57">
        <f>'Stavební rozpočet'!L265</f>
        <v>37.1167411</v>
      </c>
      <c r="H31" s="57" t="s">
        <v>606</v>
      </c>
      <c r="I31" s="57">
        <f>IF(H31="F",0,F31)</f>
        <v>0</v>
      </c>
    </row>
    <row r="32" spans="1:9" ht="12.75">
      <c r="A32" s="30"/>
      <c r="B32" s="30" t="s">
        <v>226</v>
      </c>
      <c r="C32" s="30" t="s">
        <v>503</v>
      </c>
      <c r="D32" s="57">
        <f>'Stavební rozpočet'!H296</f>
        <v>0</v>
      </c>
      <c r="E32" s="57">
        <f>'Stavební rozpočet'!I296</f>
        <v>0</v>
      </c>
      <c r="F32" s="57">
        <f>D32+E32</f>
        <v>0</v>
      </c>
      <c r="G32" s="57">
        <f>'Stavební rozpočet'!L296</f>
        <v>0</v>
      </c>
      <c r="H32" s="57" t="s">
        <v>606</v>
      </c>
      <c r="I32" s="57">
        <f>IF(H32="F",0,F32)</f>
        <v>0</v>
      </c>
    </row>
    <row r="33" spans="1:9" ht="12.75">
      <c r="A33" s="30"/>
      <c r="B33" s="30" t="s">
        <v>228</v>
      </c>
      <c r="C33" s="30" t="s">
        <v>506</v>
      </c>
      <c r="D33" s="57">
        <f>'Stavební rozpočet'!H299</f>
        <v>0</v>
      </c>
      <c r="E33" s="57">
        <f>'Stavební rozpočet'!I299</f>
        <v>0</v>
      </c>
      <c r="F33" s="57">
        <f>D33+E33</f>
        <v>0</v>
      </c>
      <c r="G33" s="57">
        <f>'Stavební rozpočet'!L299</f>
        <v>0</v>
      </c>
      <c r="H33" s="57" t="s">
        <v>606</v>
      </c>
      <c r="I33" s="57">
        <f>IF(H33="F",0,F33)</f>
        <v>0</v>
      </c>
    </row>
    <row r="34" spans="1:9" ht="12.75">
      <c r="A34" s="30"/>
      <c r="B34" s="30" t="s">
        <v>230</v>
      </c>
      <c r="C34" s="30" t="s">
        <v>508</v>
      </c>
      <c r="D34" s="57">
        <f>'Stavební rozpočet'!H302</f>
        <v>0</v>
      </c>
      <c r="E34" s="57">
        <f>'Stavební rozpočet'!I302</f>
        <v>0</v>
      </c>
      <c r="F34" s="57">
        <f>D34+E34</f>
        <v>0</v>
      </c>
      <c r="G34" s="57">
        <f>'Stavební rozpočet'!L302</f>
        <v>0</v>
      </c>
      <c r="H34" s="57" t="s">
        <v>606</v>
      </c>
      <c r="I34" s="57">
        <f>IF(H34="F",0,F34)</f>
        <v>0</v>
      </c>
    </row>
    <row r="36" spans="5:6" ht="12.75">
      <c r="E36" s="67" t="s">
        <v>543</v>
      </c>
      <c r="F36" s="70">
        <f>SUM(I11:I34)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44.0039062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72.75" customHeight="1">
      <c r="A1" s="112" t="s">
        <v>607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4"/>
      <c r="C2" s="24" t="str">
        <f>'Stavební rozpočet'!D2</f>
        <v>STAVEBNÍ ÚPRAVY NA ČÁSTI BUDOVY</v>
      </c>
      <c r="D2" s="44"/>
      <c r="E2" s="41" t="s">
        <v>544</v>
      </c>
      <c r="F2" s="41" t="str">
        <f>'Stavební rozpočet'!J2</f>
        <v>MĚSTO RUMBURK</v>
      </c>
      <c r="G2" s="14"/>
      <c r="H2" s="49"/>
      <c r="I2" s="4"/>
    </row>
    <row r="3" spans="1:9" ht="12.75">
      <c r="A3" s="4"/>
      <c r="B3" s="18"/>
      <c r="C3" s="25"/>
      <c r="D3" s="25"/>
      <c r="E3" s="18"/>
      <c r="F3" s="18"/>
      <c r="G3" s="18"/>
      <c r="H3" s="50"/>
      <c r="I3" s="4"/>
    </row>
    <row r="4" spans="1:9" ht="12.75">
      <c r="A4" s="5" t="s">
        <v>2</v>
      </c>
      <c r="B4" s="18"/>
      <c r="C4" s="16" t="str">
        <f>'Stavební rozpočet'!D4</f>
        <v>ARCHIV</v>
      </c>
      <c r="D4" s="18"/>
      <c r="E4" s="16" t="s">
        <v>545</v>
      </c>
      <c r="F4" s="16" t="str">
        <f>'Stavební rozpočet'!J4</f>
        <v>LADISLAV ALBRECHT DIS</v>
      </c>
      <c r="G4" s="18"/>
      <c r="H4" s="50"/>
      <c r="I4" s="4"/>
    </row>
    <row r="5" spans="1:9" ht="12.75">
      <c r="A5" s="4"/>
      <c r="B5" s="18"/>
      <c r="C5" s="18"/>
      <c r="D5" s="18"/>
      <c r="E5" s="18"/>
      <c r="F5" s="18"/>
      <c r="G5" s="18"/>
      <c r="H5" s="50"/>
      <c r="I5" s="4"/>
    </row>
    <row r="6" spans="1:9" ht="12.75">
      <c r="A6" s="5" t="s">
        <v>3</v>
      </c>
      <c r="B6" s="18"/>
      <c r="C6" s="16" t="str">
        <f>'Stavební rozpočet'!D6</f>
        <v>RUMBURK TŘ.9.KVĚTNA Č.P.1051</v>
      </c>
      <c r="D6" s="18"/>
      <c r="E6" s="16" t="s">
        <v>546</v>
      </c>
      <c r="F6" s="16" t="str">
        <f>'Stavební rozpočet'!J6</f>
        <v>BUDE VYBRÁN</v>
      </c>
      <c r="G6" s="18"/>
      <c r="H6" s="50"/>
      <c r="I6" s="4"/>
    </row>
    <row r="7" spans="1:9" ht="12.75">
      <c r="A7" s="4"/>
      <c r="B7" s="18"/>
      <c r="C7" s="18"/>
      <c r="D7" s="18"/>
      <c r="E7" s="18"/>
      <c r="F7" s="18"/>
      <c r="G7" s="18"/>
      <c r="H7" s="50"/>
      <c r="I7" s="4"/>
    </row>
    <row r="8" spans="1:9" ht="12.75">
      <c r="A8" s="5" t="s">
        <v>547</v>
      </c>
      <c r="B8" s="18"/>
      <c r="C8" s="16" t="str">
        <f>'Stavební rozpočet'!J8</f>
        <v>IIČVDF</v>
      </c>
      <c r="D8" s="18"/>
      <c r="E8" s="16" t="s">
        <v>527</v>
      </c>
      <c r="F8" s="16" t="str">
        <f>'Stavební rozpočet'!G8</f>
        <v>21.02.2018</v>
      </c>
      <c r="G8" s="18"/>
      <c r="H8" s="50"/>
      <c r="I8" s="4"/>
    </row>
    <row r="9" spans="1:9" ht="12.75">
      <c r="A9" s="6"/>
      <c r="B9" s="19"/>
      <c r="C9" s="19"/>
      <c r="D9" s="19"/>
      <c r="E9" s="19"/>
      <c r="F9" s="19"/>
      <c r="G9" s="19"/>
      <c r="H9" s="51"/>
      <c r="I9" s="4"/>
    </row>
    <row r="10" spans="1:9" ht="12.75">
      <c r="A10" s="64" t="s">
        <v>5</v>
      </c>
      <c r="B10" s="65" t="s">
        <v>117</v>
      </c>
      <c r="C10" s="65" t="s">
        <v>118</v>
      </c>
      <c r="D10" s="65" t="s">
        <v>242</v>
      </c>
      <c r="E10" s="65" t="s">
        <v>528</v>
      </c>
      <c r="F10" s="65" t="s">
        <v>243</v>
      </c>
      <c r="G10" s="72" t="s">
        <v>537</v>
      </c>
      <c r="H10" s="62" t="s">
        <v>608</v>
      </c>
      <c r="I10" s="56"/>
    </row>
    <row r="11" spans="1:8" ht="12.75">
      <c r="A11" s="71"/>
      <c r="B11" s="71"/>
      <c r="C11" s="71"/>
      <c r="D11" s="71"/>
      <c r="E11" s="71"/>
      <c r="F11" s="71"/>
      <c r="G11" s="71"/>
      <c r="H11" s="71"/>
    </row>
    <row r="12" ht="11.25" customHeight="1">
      <c r="A12" s="15" t="s">
        <v>116</v>
      </c>
    </row>
    <row r="13" spans="1:7" ht="12.75">
      <c r="A13" s="16"/>
      <c r="B13" s="18"/>
      <c r="C13" s="18"/>
      <c r="D13" s="18"/>
      <c r="E13" s="18"/>
      <c r="F13" s="18"/>
      <c r="G13" s="18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A13:G1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11"/>
      <c r="B1" s="13"/>
      <c r="C1" s="93" t="s">
        <v>624</v>
      </c>
      <c r="D1" s="98"/>
      <c r="E1" s="98"/>
      <c r="F1" s="98"/>
      <c r="G1" s="98"/>
      <c r="H1" s="98"/>
      <c r="I1" s="98"/>
    </row>
    <row r="2" spans="1:10" ht="12.75">
      <c r="A2" s="3" t="s">
        <v>1</v>
      </c>
      <c r="B2" s="14"/>
      <c r="C2" s="24" t="str">
        <f>'Stavební rozpočet'!D2</f>
        <v>STAVEBNÍ ÚPRAVY NA ČÁSTI BUDOVY</v>
      </c>
      <c r="D2" s="44"/>
      <c r="E2" s="41" t="s">
        <v>544</v>
      </c>
      <c r="F2" s="41" t="str">
        <f>'Stavební rozpočet'!J2</f>
        <v>MĚSTO RUMBURK</v>
      </c>
      <c r="G2" s="14"/>
      <c r="H2" s="41" t="s">
        <v>649</v>
      </c>
      <c r="I2" s="105"/>
      <c r="J2" s="4"/>
    </row>
    <row r="3" spans="1:10" ht="12.75">
      <c r="A3" s="4"/>
      <c r="B3" s="18"/>
      <c r="C3" s="25"/>
      <c r="D3" s="25"/>
      <c r="E3" s="18"/>
      <c r="F3" s="18"/>
      <c r="G3" s="18"/>
      <c r="H3" s="18"/>
      <c r="I3" s="50"/>
      <c r="J3" s="4"/>
    </row>
    <row r="4" spans="1:10" ht="12.75">
      <c r="A4" s="5" t="s">
        <v>2</v>
      </c>
      <c r="B4" s="18"/>
      <c r="C4" s="16" t="str">
        <f>'Stavební rozpočet'!D4</f>
        <v>ARCHIV</v>
      </c>
      <c r="D4" s="18"/>
      <c r="E4" s="16" t="s">
        <v>545</v>
      </c>
      <c r="F4" s="16" t="str">
        <f>'Stavební rozpočet'!J4</f>
        <v>LADISLAV ALBRECHT DIS</v>
      </c>
      <c r="G4" s="18"/>
      <c r="H4" s="16" t="s">
        <v>649</v>
      </c>
      <c r="I4" s="106"/>
      <c r="J4" s="4"/>
    </row>
    <row r="5" spans="1:10" ht="12.75">
      <c r="A5" s="4"/>
      <c r="B5" s="18"/>
      <c r="C5" s="18"/>
      <c r="D5" s="18"/>
      <c r="E5" s="18"/>
      <c r="F5" s="18"/>
      <c r="G5" s="18"/>
      <c r="H5" s="18"/>
      <c r="I5" s="50"/>
      <c r="J5" s="4"/>
    </row>
    <row r="6" spans="1:10" ht="12.75">
      <c r="A6" s="5" t="s">
        <v>3</v>
      </c>
      <c r="B6" s="18"/>
      <c r="C6" s="16" t="str">
        <f>'Stavební rozpočet'!D6</f>
        <v>RUMBURK TŘ.9.KVĚTNA Č.P.1051</v>
      </c>
      <c r="D6" s="18"/>
      <c r="E6" s="16" t="s">
        <v>546</v>
      </c>
      <c r="F6" s="16" t="str">
        <f>'Stavební rozpočet'!J6</f>
        <v>BUDE VYBRÁN</v>
      </c>
      <c r="G6" s="18"/>
      <c r="H6" s="16" t="s">
        <v>649</v>
      </c>
      <c r="I6" s="106"/>
      <c r="J6" s="4"/>
    </row>
    <row r="7" spans="1:10" ht="12.75">
      <c r="A7" s="4"/>
      <c r="B7" s="18"/>
      <c r="C7" s="18"/>
      <c r="D7" s="18"/>
      <c r="E7" s="18"/>
      <c r="F7" s="18"/>
      <c r="G7" s="18"/>
      <c r="H7" s="18"/>
      <c r="I7" s="50"/>
      <c r="J7" s="4"/>
    </row>
    <row r="8" spans="1:10" ht="12.75">
      <c r="A8" s="5" t="s">
        <v>525</v>
      </c>
      <c r="B8" s="18"/>
      <c r="C8" s="16" t="str">
        <f>'Stavební rozpočet'!G4</f>
        <v> </v>
      </c>
      <c r="D8" s="18"/>
      <c r="E8" s="16" t="s">
        <v>526</v>
      </c>
      <c r="F8" s="16" t="str">
        <f>'Stavební rozpočet'!G6</f>
        <v> </v>
      </c>
      <c r="G8" s="18"/>
      <c r="H8" s="30" t="s">
        <v>650</v>
      </c>
      <c r="I8" s="106" t="s">
        <v>115</v>
      </c>
      <c r="J8" s="4"/>
    </row>
    <row r="9" spans="1:10" ht="12.75">
      <c r="A9" s="4"/>
      <c r="B9" s="18"/>
      <c r="C9" s="18"/>
      <c r="D9" s="18"/>
      <c r="E9" s="18"/>
      <c r="F9" s="18"/>
      <c r="G9" s="18"/>
      <c r="H9" s="18"/>
      <c r="I9" s="50"/>
      <c r="J9" s="4"/>
    </row>
    <row r="10" spans="1:10" ht="12.75">
      <c r="A10" s="5" t="s">
        <v>4</v>
      </c>
      <c r="B10" s="18"/>
      <c r="C10" s="16" t="str">
        <f>'Stavební rozpočet'!D8</f>
        <v> </v>
      </c>
      <c r="D10" s="18"/>
      <c r="E10" s="16" t="s">
        <v>547</v>
      </c>
      <c r="F10" s="16" t="str">
        <f>'Stavební rozpočet'!J8</f>
        <v>IIČVDF</v>
      </c>
      <c r="G10" s="18"/>
      <c r="H10" s="30" t="s">
        <v>651</v>
      </c>
      <c r="I10" s="110" t="str">
        <f>'Stavební rozpočet'!G8</f>
        <v>21.02.2018</v>
      </c>
      <c r="J10" s="4"/>
    </row>
    <row r="11" spans="1:10" ht="12.75">
      <c r="A11" s="73"/>
      <c r="B11" s="13"/>
      <c r="C11" s="13"/>
      <c r="D11" s="13"/>
      <c r="E11" s="13"/>
      <c r="F11" s="13"/>
      <c r="G11" s="13"/>
      <c r="H11" s="13"/>
      <c r="I11" s="107"/>
      <c r="J11" s="4"/>
    </row>
    <row r="12" spans="1:9" ht="23.25" customHeight="1">
      <c r="A12" s="74" t="s">
        <v>609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75" t="s">
        <v>610</v>
      </c>
      <c r="B13" s="86" t="s">
        <v>622</v>
      </c>
      <c r="C13" s="94"/>
      <c r="D13" s="75" t="s">
        <v>625</v>
      </c>
      <c r="E13" s="86" t="s">
        <v>634</v>
      </c>
      <c r="F13" s="94"/>
      <c r="G13" s="75" t="s">
        <v>635</v>
      </c>
      <c r="H13" s="86" t="s">
        <v>652</v>
      </c>
      <c r="I13" s="94"/>
      <c r="J13" s="4"/>
    </row>
    <row r="14" spans="1:10" ht="15" customHeight="1">
      <c r="A14" s="76" t="s">
        <v>611</v>
      </c>
      <c r="B14" s="87" t="s">
        <v>623</v>
      </c>
      <c r="C14" s="101">
        <f>SUM('Stavební rozpočet'!R12:R318)</f>
        <v>0</v>
      </c>
      <c r="D14" s="99" t="s">
        <v>626</v>
      </c>
      <c r="E14" s="100"/>
      <c r="F14" s="101">
        <v>0</v>
      </c>
      <c r="G14" s="99" t="s">
        <v>636</v>
      </c>
      <c r="H14" s="100"/>
      <c r="I14" s="101">
        <v>0</v>
      </c>
      <c r="J14" s="4"/>
    </row>
    <row r="15" spans="1:10" ht="15" customHeight="1">
      <c r="A15" s="77"/>
      <c r="B15" s="87" t="s">
        <v>548</v>
      </c>
      <c r="C15" s="101">
        <f>SUM('Stavební rozpočet'!S12:S318)</f>
        <v>0</v>
      </c>
      <c r="D15" s="99" t="s">
        <v>627</v>
      </c>
      <c r="E15" s="100"/>
      <c r="F15" s="101">
        <v>0</v>
      </c>
      <c r="G15" s="99" t="s">
        <v>637</v>
      </c>
      <c r="H15" s="100"/>
      <c r="I15" s="101">
        <v>0</v>
      </c>
      <c r="J15" s="4"/>
    </row>
    <row r="16" spans="1:10" ht="15" customHeight="1">
      <c r="A16" s="76" t="s">
        <v>612</v>
      </c>
      <c r="B16" s="87" t="s">
        <v>623</v>
      </c>
      <c r="C16" s="101">
        <f>SUM('Stavební rozpočet'!T12:T318)</f>
        <v>0</v>
      </c>
      <c r="D16" s="99" t="s">
        <v>628</v>
      </c>
      <c r="E16" s="100"/>
      <c r="F16" s="101">
        <v>0</v>
      </c>
      <c r="G16" s="99" t="s">
        <v>638</v>
      </c>
      <c r="H16" s="100"/>
      <c r="I16" s="101">
        <v>0</v>
      </c>
      <c r="J16" s="4"/>
    </row>
    <row r="17" spans="1:10" ht="15" customHeight="1">
      <c r="A17" s="77"/>
      <c r="B17" s="87" t="s">
        <v>548</v>
      </c>
      <c r="C17" s="101">
        <f>SUM('Stavební rozpočet'!U12:U318)</f>
        <v>0</v>
      </c>
      <c r="D17" s="99"/>
      <c r="E17" s="100"/>
      <c r="F17" s="102"/>
      <c r="G17" s="99" t="s">
        <v>639</v>
      </c>
      <c r="H17" s="100"/>
      <c r="I17" s="101">
        <v>0</v>
      </c>
      <c r="J17" s="4"/>
    </row>
    <row r="18" spans="1:10" ht="15" customHeight="1">
      <c r="A18" s="76" t="s">
        <v>613</v>
      </c>
      <c r="B18" s="87" t="s">
        <v>623</v>
      </c>
      <c r="C18" s="101">
        <f>SUM('Stavební rozpočet'!V12:V318)</f>
        <v>0</v>
      </c>
      <c r="D18" s="99"/>
      <c r="E18" s="100"/>
      <c r="F18" s="102"/>
      <c r="G18" s="99" t="s">
        <v>640</v>
      </c>
      <c r="H18" s="100"/>
      <c r="I18" s="101">
        <v>0</v>
      </c>
      <c r="J18" s="4"/>
    </row>
    <row r="19" spans="1:10" ht="15" customHeight="1">
      <c r="A19" s="77"/>
      <c r="B19" s="87" t="s">
        <v>548</v>
      </c>
      <c r="C19" s="101">
        <f>SUM('Stavební rozpočet'!W12:W318)</f>
        <v>0</v>
      </c>
      <c r="D19" s="99"/>
      <c r="E19" s="100"/>
      <c r="F19" s="102"/>
      <c r="G19" s="99" t="s">
        <v>641</v>
      </c>
      <c r="H19" s="100"/>
      <c r="I19" s="101">
        <v>0</v>
      </c>
      <c r="J19" s="4"/>
    </row>
    <row r="20" spans="1:10" ht="15" customHeight="1">
      <c r="A20" s="78" t="s">
        <v>614</v>
      </c>
      <c r="B20" s="88"/>
      <c r="C20" s="101">
        <f>SUM('Stavební rozpočet'!X12:X318)</f>
        <v>0</v>
      </c>
      <c r="D20" s="99"/>
      <c r="E20" s="100"/>
      <c r="F20" s="102"/>
      <c r="G20" s="99"/>
      <c r="H20" s="100"/>
      <c r="I20" s="102"/>
      <c r="J20" s="4"/>
    </row>
    <row r="21" spans="1:10" ht="15" customHeight="1">
      <c r="A21" s="78" t="s">
        <v>615</v>
      </c>
      <c r="B21" s="88"/>
      <c r="C21" s="101">
        <f>SUM('Stavební rozpočet'!P12:P318)</f>
        <v>0</v>
      </c>
      <c r="D21" s="99"/>
      <c r="E21" s="100"/>
      <c r="F21" s="102"/>
      <c r="G21" s="99"/>
      <c r="H21" s="100"/>
      <c r="I21" s="102"/>
      <c r="J21" s="4"/>
    </row>
    <row r="22" spans="1:10" ht="16.5" customHeight="1">
      <c r="A22" s="78" t="s">
        <v>616</v>
      </c>
      <c r="B22" s="88"/>
      <c r="C22" s="101">
        <f>SUM(C14:C21)</f>
        <v>0</v>
      </c>
      <c r="D22" s="78" t="s">
        <v>629</v>
      </c>
      <c r="E22" s="88"/>
      <c r="F22" s="101">
        <f>SUM(F14:F21)</f>
        <v>0</v>
      </c>
      <c r="G22" s="78" t="s">
        <v>642</v>
      </c>
      <c r="H22" s="88"/>
      <c r="I22" s="101">
        <f>SUM(I14:I21)</f>
        <v>0</v>
      </c>
      <c r="J22" s="4"/>
    </row>
    <row r="23" spans="1:10" ht="15" customHeight="1">
      <c r="A23" s="14"/>
      <c r="B23" s="14"/>
      <c r="C23" s="49"/>
      <c r="D23" s="78" t="s">
        <v>630</v>
      </c>
      <c r="E23" s="88"/>
      <c r="F23" s="103">
        <v>0</v>
      </c>
      <c r="G23" s="78" t="s">
        <v>643</v>
      </c>
      <c r="H23" s="88"/>
      <c r="I23" s="101">
        <v>0</v>
      </c>
      <c r="J23" s="4"/>
    </row>
    <row r="24" spans="4:9" ht="15" customHeight="1">
      <c r="D24" s="14"/>
      <c r="E24" s="14"/>
      <c r="F24" s="104"/>
      <c r="G24" s="78" t="s">
        <v>644</v>
      </c>
      <c r="H24" s="88"/>
      <c r="I24" s="108"/>
    </row>
    <row r="25" spans="6:10" ht="15" customHeight="1">
      <c r="F25" s="50"/>
      <c r="G25" s="78" t="s">
        <v>645</v>
      </c>
      <c r="H25" s="88"/>
      <c r="I25" s="101">
        <v>0</v>
      </c>
      <c r="J25" s="4"/>
    </row>
    <row r="26" spans="1:9" ht="12.75">
      <c r="A26" s="13"/>
      <c r="B26" s="13"/>
      <c r="C26" s="13"/>
      <c r="G26" s="14"/>
      <c r="H26" s="14"/>
      <c r="I26" s="14"/>
    </row>
    <row r="27" spans="1:9" ht="15" customHeight="1">
      <c r="A27" s="79" t="s">
        <v>617</v>
      </c>
      <c r="B27" s="89"/>
      <c r="C27" s="109">
        <f>SUM('Stavební rozpočet'!Z12:Z318)</f>
        <v>0</v>
      </c>
      <c r="D27" s="73"/>
      <c r="E27" s="13"/>
      <c r="F27" s="13"/>
      <c r="G27" s="13"/>
      <c r="H27" s="13"/>
      <c r="I27" s="13"/>
    </row>
    <row r="28" spans="1:10" ht="15" customHeight="1">
      <c r="A28" s="79" t="s">
        <v>618</v>
      </c>
      <c r="B28" s="89"/>
      <c r="C28" s="109">
        <f>SUM('Stavební rozpočet'!AA12:AA318)</f>
        <v>0</v>
      </c>
      <c r="D28" s="79" t="s">
        <v>631</v>
      </c>
      <c r="E28" s="89"/>
      <c r="F28" s="109">
        <f>ROUND(C28*(15/100),2)</f>
        <v>0</v>
      </c>
      <c r="G28" s="79" t="s">
        <v>646</v>
      </c>
      <c r="H28" s="89"/>
      <c r="I28" s="109">
        <f>SUM(C27:C29)</f>
        <v>0</v>
      </c>
      <c r="J28" s="4"/>
    </row>
    <row r="29" spans="1:10" ht="15" customHeight="1">
      <c r="A29" s="79" t="s">
        <v>619</v>
      </c>
      <c r="B29" s="89"/>
      <c r="C29" s="109">
        <f>SUM('Stavební rozpočet'!AB12:AB318)+(F22+I22+F23+I23+I24+I25)</f>
        <v>0</v>
      </c>
      <c r="D29" s="79" t="s">
        <v>632</v>
      </c>
      <c r="E29" s="89"/>
      <c r="F29" s="109">
        <f>ROUND(C29*(21/100),2)</f>
        <v>0</v>
      </c>
      <c r="G29" s="79" t="s">
        <v>647</v>
      </c>
      <c r="H29" s="89"/>
      <c r="I29" s="109">
        <f>SUM(F28:F29)+I28</f>
        <v>0</v>
      </c>
      <c r="J29" s="4"/>
    </row>
    <row r="30" spans="1:9" ht="12.75">
      <c r="A30" s="80"/>
      <c r="B30" s="80"/>
      <c r="C30" s="80"/>
      <c r="D30" s="80"/>
      <c r="E30" s="80"/>
      <c r="F30" s="80"/>
      <c r="G30" s="80"/>
      <c r="H30" s="80"/>
      <c r="I30" s="80"/>
    </row>
    <row r="31" spans="1:10" ht="14.25" customHeight="1">
      <c r="A31" s="81" t="s">
        <v>620</v>
      </c>
      <c r="B31" s="90"/>
      <c r="C31" s="95"/>
      <c r="D31" s="81" t="s">
        <v>633</v>
      </c>
      <c r="E31" s="90"/>
      <c r="F31" s="95"/>
      <c r="G31" s="81" t="s">
        <v>648</v>
      </c>
      <c r="H31" s="90"/>
      <c r="I31" s="95"/>
      <c r="J31" s="56"/>
    </row>
    <row r="32" spans="1:10" ht="14.25" customHeight="1">
      <c r="A32" s="82"/>
      <c r="B32" s="91"/>
      <c r="C32" s="96"/>
      <c r="D32" s="82"/>
      <c r="E32" s="91"/>
      <c r="F32" s="96"/>
      <c r="G32" s="82"/>
      <c r="H32" s="91"/>
      <c r="I32" s="96"/>
      <c r="J32" s="56"/>
    </row>
    <row r="33" spans="1:10" ht="14.25" customHeight="1">
      <c r="A33" s="82"/>
      <c r="B33" s="91"/>
      <c r="C33" s="96"/>
      <c r="D33" s="82"/>
      <c r="E33" s="91"/>
      <c r="F33" s="96"/>
      <c r="G33" s="82"/>
      <c r="H33" s="91"/>
      <c r="I33" s="96"/>
      <c r="J33" s="56"/>
    </row>
    <row r="34" spans="1:10" ht="14.25" customHeight="1">
      <c r="A34" s="82"/>
      <c r="B34" s="91"/>
      <c r="C34" s="96"/>
      <c r="D34" s="82"/>
      <c r="E34" s="91"/>
      <c r="F34" s="96"/>
      <c r="G34" s="82"/>
      <c r="H34" s="91"/>
      <c r="I34" s="96"/>
      <c r="J34" s="56"/>
    </row>
    <row r="35" spans="1:10" ht="14.25" customHeight="1">
      <c r="A35" s="83" t="s">
        <v>621</v>
      </c>
      <c r="B35" s="92"/>
      <c r="C35" s="97"/>
      <c r="D35" s="83" t="s">
        <v>621</v>
      </c>
      <c r="E35" s="92"/>
      <c r="F35" s="97"/>
      <c r="G35" s="83" t="s">
        <v>621</v>
      </c>
      <c r="H35" s="92"/>
      <c r="I35" s="97"/>
      <c r="J35" s="56"/>
    </row>
    <row r="36" spans="1:9" ht="11.25" customHeight="1">
      <c r="A36" s="84" t="s">
        <v>116</v>
      </c>
      <c r="B36" s="71"/>
      <c r="C36" s="71"/>
      <c r="D36" s="71"/>
      <c r="E36" s="71"/>
      <c r="F36" s="71"/>
      <c r="G36" s="71"/>
      <c r="H36" s="71"/>
      <c r="I36" s="71"/>
    </row>
    <row r="37" spans="1:9" ht="12.75">
      <c r="A37" s="16"/>
      <c r="B37" s="18"/>
      <c r="C37" s="18"/>
      <c r="D37" s="18"/>
      <c r="E37" s="18"/>
      <c r="F37" s="18"/>
      <c r="G37" s="18"/>
      <c r="H37" s="18"/>
      <c r="I37" s="18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