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7226"/>
  <workbookPr codeName="ThisWorkbook"/>
  <bookViews>
    <workbookView xWindow="0" yWindow="0" windowWidth="25600" windowHeight="14420" tabRatio="946" activeTab="0"/>
  </bookViews>
  <sheets>
    <sheet name="Specifikace VIS" sheetId="8" r:id="rId1"/>
    <sheet name="Doba instalace" sheetId="2" state="hidden" r:id="rId2"/>
    <sheet name="Kalkulace" sheetId="3" state="hidden" r:id="rId3"/>
  </sheets>
  <definedNames>
    <definedName name="_xlnm.Print_Area" localSheetId="2">'Kalkulace'!$A$1:$K$99</definedName>
    <definedName name="_xlnm.Print_Area" localSheetId="0">'Specifikace VIS'!$A$1:$F$76</definedName>
    <definedName name="_xlnm.Print_Titles" localSheetId="2">'Kalkulace'!$3:$4</definedName>
  </definedNames>
  <calcPr calcId="140001"/>
  <extLst/>
</workbook>
</file>

<file path=xl/comments2.xml><?xml version="1.0" encoding="utf-8"?>
<comments xmlns="http://schemas.openxmlformats.org/spreadsheetml/2006/main">
  <authors>
    <author>PF</author>
  </authors>
  <commentLis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BP s možností kódování</t>
        </r>
      </text>
    </comment>
    <comment ref="B23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BP s možností kódování</t>
        </r>
      </text>
    </comment>
    <comment ref="B24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BP s možností kódování</t>
        </r>
      </text>
    </comment>
    <comment ref="B25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nastavení skupin pájením</t>
        </r>
      </text>
    </comment>
  </commentList>
</comments>
</file>

<file path=xl/comments3.xml><?xml version="1.0" encoding="utf-8"?>
<comments xmlns="http://schemas.openxmlformats.org/spreadsheetml/2006/main">
  <authors>
    <author>PF</author>
  </authors>
  <commentList>
    <comment ref="J79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siréna, převaděč
akustická studie</t>
        </r>
      </text>
    </comment>
    <comment ref="J83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 xml:space="preserve">Revize
</t>
        </r>
      </text>
    </comment>
  </commentList>
</comments>
</file>

<file path=xl/sharedStrings.xml><?xml version="1.0" encoding="utf-8"?>
<sst xmlns="http://schemas.openxmlformats.org/spreadsheetml/2006/main" count="377" uniqueCount="246">
  <si>
    <t>Jednotková cena bez DPH</t>
  </si>
  <si>
    <t>ks</t>
  </si>
  <si>
    <t>Celkem s DPH</t>
  </si>
  <si>
    <t>Zaškolení obsluhy</t>
  </si>
  <si>
    <t>Vzdálenost k zákazníkovi:</t>
  </si>
  <si>
    <t>Průměr instalované oblasti:</t>
  </si>
  <si>
    <t>Počet vysílačů  a přijímačů CO:</t>
  </si>
  <si>
    <t>Počet bezdrátových hlásičů:</t>
  </si>
  <si>
    <t>Počet reproduktorů:</t>
  </si>
  <si>
    <t>Počet směrových antén:</t>
  </si>
  <si>
    <t>Průměrná rychlost na cestě k zákazníkovi:</t>
  </si>
  <si>
    <t>Průměrná rychlost přesunu při instalaci:</t>
  </si>
  <si>
    <t>Hodinová sazba montéra:</t>
  </si>
  <si>
    <t>Kilometrová sazba:</t>
  </si>
  <si>
    <t>Počet bytových přijímačů - s DIP přepínačem</t>
  </si>
  <si>
    <t>Počet bytových přijímačů - pájecí</t>
  </si>
  <si>
    <t>Instalace BH včetně napájení</t>
  </si>
  <si>
    <t>Instalace BH napájení zvlášť</t>
  </si>
  <si>
    <t>Instalace SW na stávající PC u zákazníka</t>
  </si>
  <si>
    <t>???</t>
  </si>
  <si>
    <t xml:space="preserve">Časové normování </t>
  </si>
  <si>
    <t>Celkem odpracováno - montér</t>
  </si>
  <si>
    <t>Celkem odpracováno - technik</t>
  </si>
  <si>
    <t>počet osob</t>
  </si>
  <si>
    <t>min/ks</t>
  </si>
  <si>
    <t>hod celkem</t>
  </si>
  <si>
    <t>km</t>
  </si>
  <si>
    <t>hod</t>
  </si>
  <si>
    <t>Seznámení s projektem</t>
  </si>
  <si>
    <t>Vyzvednutí materiálu ze skladu</t>
  </si>
  <si>
    <t>Instalace SW na PC, nastavení skupin podle projektu</t>
  </si>
  <si>
    <t>Nastavení řídicí skříně, kmitočet, výkon, skupiny podle projektu</t>
  </si>
  <si>
    <t>Nastavení hlasitosti BP, přepnutí skupiny a přezkoušení</t>
  </si>
  <si>
    <t>Nast. skupiny a hlasitosti BP, přezkoušení</t>
  </si>
  <si>
    <t>Nastavení BH podle projektu, zapsání výr. č. na disketu</t>
  </si>
  <si>
    <t>Doprava materiálu na stavbu</t>
  </si>
  <si>
    <t>Převzetí staveniště, poučení pracovníků</t>
  </si>
  <si>
    <t>Vykládka materiálu na stavbě</t>
  </si>
  <si>
    <t>Kompletace BH, držák, anténa</t>
  </si>
  <si>
    <t>Kompletace reproduktorů montáž držáku, likvidace obalu</t>
  </si>
  <si>
    <t>Vysílač</t>
  </si>
  <si>
    <t>Nakládka materiálu k montáži</t>
  </si>
  <si>
    <t>Doprava materiálu na místo montáže</t>
  </si>
  <si>
    <t>Příprava pracoviště k instalaci</t>
  </si>
  <si>
    <t>Instalace anténního systému, kabelu</t>
  </si>
  <si>
    <t xml:space="preserve">Instalace řídicí skříně a kabelového propojení s PC </t>
  </si>
  <si>
    <t xml:space="preserve">Likvidace pracoviště </t>
  </si>
  <si>
    <t>BH</t>
  </si>
  <si>
    <t>Nakládka materiálu k montáži 4 BH včetně napájení</t>
  </si>
  <si>
    <t>Doprava materiálu pro 4 BH na místo montáže</t>
  </si>
  <si>
    <t>Příprava pracoviště k instalace</t>
  </si>
  <si>
    <t xml:space="preserve"> </t>
  </si>
  <si>
    <t>Instalace BH a reproduktorů včetně napájení</t>
  </si>
  <si>
    <t xml:space="preserve">Likvidace instalačního pracoviště </t>
  </si>
  <si>
    <t>Návrat na základnu</t>
  </si>
  <si>
    <t>Nakládka materiálu k montáži napájení 5 bodů</t>
  </si>
  <si>
    <t>Doprava materiálu pro 5 bodů na místo montáže</t>
  </si>
  <si>
    <t>Vybudování napájení</t>
  </si>
  <si>
    <t>Nakládka materiálu k montáži 4 BH</t>
  </si>
  <si>
    <t>Instalace BH a reproduktorů</t>
  </si>
  <si>
    <t>Návrat montérů do sídla zhotovitele</t>
  </si>
  <si>
    <t>Opakování cesty na stavbu a zpět (počet týdnů)</t>
  </si>
  <si>
    <t>Doprava ved.stavby/ technika na stavbu</t>
  </si>
  <si>
    <t>Nastavení přijímačů při vysílání z úřadu</t>
  </si>
  <si>
    <t>Doprava ved.stavby/ technika ze stavby</t>
  </si>
  <si>
    <t>Opakování cesty techniků na stavbu a zpět (počet týdnů-1)</t>
  </si>
  <si>
    <t>Provedení revizní zprávy</t>
  </si>
  <si>
    <t>Doprava technika na stavbu pro doladění BP</t>
  </si>
  <si>
    <t>Nastavení BP v domácnostech u 15% dodaných</t>
  </si>
  <si>
    <t>Suma odpracovaných (hod,km)</t>
  </si>
  <si>
    <t>Suma spotřebovaných dnů</t>
  </si>
  <si>
    <t>Suma spotřebovaných týdnů</t>
  </si>
  <si>
    <t>Stavba bude trvat dnů</t>
  </si>
  <si>
    <t>Kalkulace projektu</t>
  </si>
  <si>
    <t>Datum zpracování :</t>
  </si>
  <si>
    <t>Verze kalkulace :</t>
  </si>
  <si>
    <t>Č.p.</t>
  </si>
  <si>
    <t>Označení</t>
  </si>
  <si>
    <t>Zkrácený název</t>
  </si>
  <si>
    <t>M.j.</t>
  </si>
  <si>
    <t>Poč.</t>
  </si>
  <si>
    <t>Jednot. náklad</t>
  </si>
  <si>
    <t>Celkový náklad</t>
  </si>
  <si>
    <t>Název projektu :</t>
  </si>
  <si>
    <t>VISO 2002 Prazdroj - realizace</t>
  </si>
  <si>
    <t>Číslo projektu :</t>
  </si>
  <si>
    <t>V-1183.1705</t>
  </si>
  <si>
    <t>Termín zahájení :</t>
  </si>
  <si>
    <t>XX.XX. 2002</t>
  </si>
  <si>
    <t>Termín ukončení :</t>
  </si>
  <si>
    <t>Zpracoval :</t>
  </si>
  <si>
    <t>Ing. Knecht</t>
  </si>
  <si>
    <t>Montážní práce :</t>
  </si>
  <si>
    <t>Projektový manažer :</t>
  </si>
  <si>
    <t>Počet hodin PM</t>
  </si>
  <si>
    <t>pojišť.</t>
  </si>
  <si>
    <t>Obchodní manažer :</t>
  </si>
  <si>
    <t>Počet hodin OM</t>
  </si>
  <si>
    <t>Pracovníci (mechanici) :</t>
  </si>
  <si>
    <t>Počet hodin montéra</t>
  </si>
  <si>
    <t>Pracovníci (technici) :</t>
  </si>
  <si>
    <t>Mzdové náklady celkem :</t>
  </si>
  <si>
    <t>Doprava osob a materiálu :</t>
  </si>
  <si>
    <t>Ford Transit 100</t>
  </si>
  <si>
    <t>Šedivý</t>
  </si>
  <si>
    <t>den</t>
  </si>
  <si>
    <t>Š Felicia Van Plus</t>
  </si>
  <si>
    <t>Hruška</t>
  </si>
  <si>
    <t>Š 1203 com</t>
  </si>
  <si>
    <t>Vícha, Ambrož</t>
  </si>
  <si>
    <t>Š 1203 mikro</t>
  </si>
  <si>
    <t>Černý, Teplý</t>
  </si>
  <si>
    <t>Š 135 Forman</t>
  </si>
  <si>
    <t>Dlabal, Šebesta</t>
  </si>
  <si>
    <t>Š Felicia B</t>
  </si>
  <si>
    <t>Král, Panc</t>
  </si>
  <si>
    <t>Š Felicia com B</t>
  </si>
  <si>
    <t>Chytil, Ptáček, Kaňkovský, Knecht</t>
  </si>
  <si>
    <t>Š Felicia com D</t>
  </si>
  <si>
    <t>Těšínský, Valenta, Spěváček, Ramba, Bis</t>
  </si>
  <si>
    <t>Š Forman plus</t>
  </si>
  <si>
    <t>Bureš Jiří, Klvaňa Jiří</t>
  </si>
  <si>
    <t>Š Octavia</t>
  </si>
  <si>
    <t>Kýna</t>
  </si>
  <si>
    <t>VW com</t>
  </si>
  <si>
    <t>Vohlídal</t>
  </si>
  <si>
    <t>Soukromé vozidla :</t>
  </si>
  <si>
    <t>----</t>
  </si>
  <si>
    <t>Soukromé vozidlo s spotřebou 6l/100km</t>
  </si>
  <si>
    <t>Soukromé vozidlo s spotřebou 8l/100km</t>
  </si>
  <si>
    <t>Soukromé vozidlo s spotřebou 10l/100km</t>
  </si>
  <si>
    <t>Dopravné náklady celkem :</t>
  </si>
  <si>
    <t>Ubytování :</t>
  </si>
  <si>
    <t>Cena ubytování I</t>
  </si>
  <si>
    <t>os.</t>
  </si>
  <si>
    <t>Cena ubytování II</t>
  </si>
  <si>
    <t>Cena ubytování III</t>
  </si>
  <si>
    <t>Cena ubytování IV</t>
  </si>
  <si>
    <t>Cestovné (stravné) :</t>
  </si>
  <si>
    <t>Cena ubytování I (5-12hod)</t>
  </si>
  <si>
    <t>Cena ubytování II (12-18hod)</t>
  </si>
  <si>
    <t>Cena ubytování III (nad 18hod)</t>
  </si>
  <si>
    <t>Diety (paušál):</t>
  </si>
  <si>
    <t>S použitím veřejné dopravy</t>
  </si>
  <si>
    <t>Vzdálenost 51-100km</t>
  </si>
  <si>
    <t>Vzdálenost 101-200km</t>
  </si>
  <si>
    <t>Vzdálenost 201-400km</t>
  </si>
  <si>
    <t>Bez použití veřejné dopravy</t>
  </si>
  <si>
    <t>Ubytování a cestovné náklady celkem :</t>
  </si>
  <si>
    <t>Zařízení a materiál :</t>
  </si>
  <si>
    <t>Zařízení VISO</t>
  </si>
  <si>
    <t>Montážní materiál (5% ceny dodávaného zařízení)</t>
  </si>
  <si>
    <t>Ostatní</t>
  </si>
  <si>
    <t>Zařízení a materiál celkem :</t>
  </si>
  <si>
    <t>Subdodávky</t>
  </si>
  <si>
    <t>interní</t>
  </si>
  <si>
    <t>externí</t>
  </si>
  <si>
    <t>PPD</t>
  </si>
  <si>
    <t>Instalační práce</t>
  </si>
  <si>
    <t>Zařízení a materiál</t>
  </si>
  <si>
    <t>Inženýring</t>
  </si>
  <si>
    <t>Subdodávky celkem :</t>
  </si>
  <si>
    <t>Rekapitulace</t>
  </si>
  <si>
    <t>Mzdové průměrné měsíční přímé náklady 1610</t>
  </si>
  <si>
    <t>měs.</t>
  </si>
  <si>
    <t>01-03</t>
  </si>
  <si>
    <t>Výrobní průměrné měsíční nepřímé náklady 1610</t>
  </si>
  <si>
    <t>(SAP)</t>
  </si>
  <si>
    <t>Mzdové průměrné měsíční náklady PM</t>
  </si>
  <si>
    <t>Výrobní nepřímé náklady projektového manažera</t>
  </si>
  <si>
    <t>Provozní výnosy celkem (smluvní cena bez DPH)</t>
  </si>
  <si>
    <t>Přímé náklady celkem</t>
  </si>
  <si>
    <t>KP I :</t>
  </si>
  <si>
    <t>%</t>
  </si>
  <si>
    <t>Výrobní nepřímé náklady 1610 rozpuštěné přes mzdy</t>
  </si>
  <si>
    <t>Výrobní nepřímé náklady PM rozpuštěné přes mzdy</t>
  </si>
  <si>
    <t>Výrobní režie 1610 + PM celkem :</t>
  </si>
  <si>
    <t>KP II :</t>
  </si>
  <si>
    <t>Stolní rozhlasový mikrofon pro připojení k PC</t>
  </si>
  <si>
    <t>Kusů</t>
  </si>
  <si>
    <t>Cena celkem bez DPH</t>
  </si>
  <si>
    <t>Školení</t>
  </si>
  <si>
    <t>Cena celkem</t>
  </si>
  <si>
    <t>DPH</t>
  </si>
  <si>
    <t>Řídící pracoviště</t>
  </si>
  <si>
    <t>Řídící software</t>
  </si>
  <si>
    <t>Název části systému VIS</t>
  </si>
  <si>
    <t>Třinec</t>
  </si>
  <si>
    <t xml:space="preserve">Ultrazvukový měřič vodní hladiny </t>
  </si>
  <si>
    <t>Vodočetní lát, označení SPA</t>
  </si>
  <si>
    <t>Anténa všesměrová tyčová v pásmu 80MHz</t>
  </si>
  <si>
    <t>Elektrocentrála</t>
  </si>
  <si>
    <t>Celkem Řídící pracoviště</t>
  </si>
  <si>
    <t>Záložní zdroj</t>
  </si>
  <si>
    <t>Celkem Záložní zdroj</t>
  </si>
  <si>
    <t>Oživení řídícího pracoviště</t>
  </si>
  <si>
    <t>Dokumentace skutečného provedení a rádiový projekt</t>
  </si>
  <si>
    <t>Vodoměrná stanice</t>
  </si>
  <si>
    <t>Celkem Vodoměrná stanice</t>
  </si>
  <si>
    <t>Montáž vodočetné latě</t>
  </si>
  <si>
    <t>Ostatní dodávky</t>
  </si>
  <si>
    <t>Modul záložního připojení internetu</t>
  </si>
  <si>
    <t>Celkem Ostatní dodávky</t>
  </si>
  <si>
    <t>Rádiový převaděč</t>
  </si>
  <si>
    <t>Oživení převaděče</t>
  </si>
  <si>
    <t>Celkem Rádiový převaděč</t>
  </si>
  <si>
    <t>Montáž a instalační materiál převaděče</t>
  </si>
  <si>
    <t>Řídící pracoviště systému včetně radiového modulu pro pásmo 80 MHz</t>
  </si>
  <si>
    <t>Modul telefonního prostupu, GSM bráná, záloha napájení</t>
  </si>
  <si>
    <t>Vodočetní lať</t>
  </si>
  <si>
    <t>Celkem Vodočetní lať</t>
  </si>
  <si>
    <t>Mobilní vysílací pracoviště včetně řídící jednotky a anténou</t>
  </si>
  <si>
    <t xml:space="preserve">Řídící aplikace VIS včetně relací a sms serveru </t>
  </si>
  <si>
    <t>Řídící aplikace Vzdálené pracoviště</t>
  </si>
  <si>
    <t>Řídící aplikace mobilní pracoviště</t>
  </si>
  <si>
    <t>Webová aplikace  a provázání s dPP</t>
  </si>
  <si>
    <t>Komunikační modul pro čidlo hladinoměru</t>
  </si>
  <si>
    <t xml:space="preserve">Multimediální PC s LCD 22", UPS, klávesnice, myš, reproduktory </t>
  </si>
  <si>
    <t>Revize vodoměrné stanice</t>
  </si>
  <si>
    <t>Revize řídícího pracoviště</t>
  </si>
  <si>
    <t>Revize převaděče</t>
  </si>
  <si>
    <t>Montáž  a instalační materiál vodoměrné stanice</t>
  </si>
  <si>
    <t>Montáž  a instalační materiál  řídícího pracoviště</t>
  </si>
  <si>
    <t>Rumburk</t>
  </si>
  <si>
    <r>
      <t xml:space="preserve">Koncové prvky </t>
    </r>
    <r>
      <rPr>
        <b/>
        <sz val="10"/>
        <rFont val="Arial CE"/>
        <family val="2"/>
      </rPr>
      <t>Bezdrátový hlásič</t>
    </r>
  </si>
  <si>
    <t>Bezdrátový hlásič VIS 2 x 40W, digitální, obousměrný pásmo 80 MHz</t>
  </si>
  <si>
    <t xml:space="preserve">Tlakový reproduktor - 15 W 8 Ohm </t>
  </si>
  <si>
    <t>Oživení bezdrátového hlásiče</t>
  </si>
  <si>
    <t>Montáž  a instalační materiál bezdrátového hlásiče</t>
  </si>
  <si>
    <t>Revize bezdrátového hlásiče</t>
  </si>
  <si>
    <r>
      <t xml:space="preserve">Celkem </t>
    </r>
    <r>
      <rPr>
        <b/>
        <sz val="10"/>
        <rFont val="Arial CE"/>
        <family val="2"/>
      </rPr>
      <t xml:space="preserve">Koncové prvky </t>
    </r>
    <r>
      <rPr>
        <b/>
        <sz val="10"/>
        <rFont val="Arial CE"/>
        <family val="2"/>
      </rPr>
      <t>Bezdrátový hlásič</t>
    </r>
  </si>
  <si>
    <t>Zaměření profilu, kalibrace  hydrometrie</t>
  </si>
  <si>
    <t>Poloprofesionální meteostanice, meření vítr, srážky, teplota, tlak vlhkost</t>
  </si>
  <si>
    <t>Oživení vodoměrné stanice</t>
  </si>
  <si>
    <t>Modul připojení pracoviště do systému JSVI vč. FM přijímače</t>
  </si>
  <si>
    <t>Anténa JSVI</t>
  </si>
  <si>
    <t>Přijímací anténa všesměrová (v pásmu 80MHz) 2.8m koax. přívod BNC</t>
  </si>
  <si>
    <t>Srážkoměrná  stanice</t>
  </si>
  <si>
    <t>Komunikační modul pro čidlo srážkoměru</t>
  </si>
  <si>
    <t>Srážkoměr nevyhřívaný 200 cm2</t>
  </si>
  <si>
    <t>Montáž a instalační materiál srážkoměrné stanice</t>
  </si>
  <si>
    <t>Oživení srážkoměrné stanice</t>
  </si>
  <si>
    <t>Revize srážkoměrné stanice</t>
  </si>
  <si>
    <t xml:space="preserve">Kalibrace </t>
  </si>
  <si>
    <t>Celkem Srážkoměrná stanice</t>
  </si>
  <si>
    <t>Výkaz Výměr - Specifikace systému 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</si>
</sst>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Kč&quot;"/>
    <numFmt numFmtId="165" formatCode="#,##0&quot; Kč&quot;"/>
    <numFmt numFmtId="166" formatCode="#,##0.0"/>
    <numFmt numFmtId="167" formatCode="0.0"/>
    <numFmt numFmtId="168" formatCode="#,##0\ &quot;Kč&quot;"/>
  </numFmts>
  <fonts count="27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i/>
      <sz val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Arial CE"/>
      <family val="2"/>
    </font>
    <font>
      <i/>
      <sz val="10"/>
      <color indexed="8"/>
      <name val="Arial CE"/>
      <family val="2"/>
    </font>
    <font>
      <i/>
      <sz val="10"/>
      <color indexed="12"/>
      <name val="Arial CE"/>
      <family val="2"/>
    </font>
    <font>
      <b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38">
    <xf numFmtId="0" fontId="0" fillId="0" borderId="0" xfId="0"/>
    <xf numFmtId="3" fontId="0" fillId="0" borderId="0" xfId="0" applyNumberFormat="1"/>
    <xf numFmtId="9" fontId="0" fillId="0" borderId="0" xfId="0" applyNumberFormat="1"/>
    <xf numFmtId="3" fontId="0" fillId="0" borderId="0" xfId="0" applyNumberFormat="1" applyBorder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Alignment="1">
      <alignment horizontal="center"/>
    </xf>
    <xf numFmtId="3" fontId="0" fillId="0" borderId="0" xfId="0" applyNumberFormat="1" applyFill="1"/>
    <xf numFmtId="0" fontId="4" fillId="0" borderId="0" xfId="0" applyFont="1"/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0" borderId="2" xfId="0" applyFont="1" applyBorder="1"/>
    <xf numFmtId="0" fontId="4" fillId="0" borderId="0" xfId="0" applyFont="1" applyBorder="1"/>
    <xf numFmtId="3" fontId="0" fillId="3" borderId="0" xfId="0" applyNumberFormat="1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Fill="1" applyBorder="1"/>
    <xf numFmtId="0" fontId="0" fillId="2" borderId="0" xfId="0" applyFill="1"/>
    <xf numFmtId="0" fontId="0" fillId="5" borderId="3" xfId="0" applyFill="1" applyBorder="1"/>
    <xf numFmtId="0" fontId="0" fillId="5" borderId="4" xfId="0" applyFill="1" applyBorder="1"/>
    <xf numFmtId="0" fontId="0" fillId="5" borderId="5" xfId="0" applyFon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/>
    <xf numFmtId="0" fontId="0" fillId="5" borderId="6" xfId="0" applyFill="1" applyBorder="1"/>
    <xf numFmtId="0" fontId="0" fillId="5" borderId="5" xfId="0" applyFont="1" applyFill="1" applyBorder="1" applyAlignment="1">
      <alignment horizontal="center"/>
    </xf>
    <xf numFmtId="0" fontId="0" fillId="0" borderId="10" xfId="0" applyFont="1" applyBorder="1"/>
    <xf numFmtId="0" fontId="0" fillId="2" borderId="11" xfId="0" applyFill="1" applyBorder="1"/>
    <xf numFmtId="4" fontId="0" fillId="0" borderId="0" xfId="0" applyNumberFormat="1" applyBorder="1"/>
    <xf numFmtId="0" fontId="0" fillId="0" borderId="12" xfId="0" applyBorder="1"/>
    <xf numFmtId="166" fontId="0" fillId="0" borderId="11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0" fontId="0" fillId="0" borderId="11" xfId="0" applyFill="1" applyBorder="1"/>
    <xf numFmtId="167" fontId="0" fillId="0" borderId="0" xfId="0" applyNumberFormat="1" applyBorder="1"/>
    <xf numFmtId="0" fontId="0" fillId="0" borderId="13" xfId="0" applyFont="1" applyBorder="1"/>
    <xf numFmtId="0" fontId="0" fillId="0" borderId="14" xfId="0" applyBorder="1"/>
    <xf numFmtId="0" fontId="0" fillId="3" borderId="15" xfId="0" applyFill="1" applyBorder="1"/>
    <xf numFmtId="0" fontId="0" fillId="0" borderId="16" xfId="0" applyBorder="1"/>
    <xf numFmtId="166" fontId="0" fillId="0" borderId="15" xfId="0" applyNumberFormat="1" applyBorder="1"/>
    <xf numFmtId="166" fontId="0" fillId="0" borderId="17" xfId="0" applyNumberFormat="1" applyBorder="1"/>
    <xf numFmtId="166" fontId="0" fillId="0" borderId="14" xfId="0" applyNumberFormat="1" applyBorder="1"/>
    <xf numFmtId="3" fontId="0" fillId="0" borderId="14" xfId="0" applyNumberFormat="1" applyBorder="1"/>
    <xf numFmtId="4" fontId="0" fillId="0" borderId="14" xfId="0" applyNumberFormat="1" applyBorder="1"/>
    <xf numFmtId="166" fontId="0" fillId="0" borderId="11" xfId="0" applyNumberFormat="1" applyFill="1" applyBorder="1"/>
    <xf numFmtId="166" fontId="0" fillId="0" borderId="1" xfId="0" applyNumberFormat="1" applyFill="1" applyBorder="1"/>
    <xf numFmtId="166" fontId="0" fillId="0" borderId="0" xfId="0" applyNumberFormat="1" applyFill="1" applyBorder="1"/>
    <xf numFmtId="166" fontId="0" fillId="0" borderId="12" xfId="0" applyNumberFormat="1" applyBorder="1"/>
    <xf numFmtId="167" fontId="0" fillId="0" borderId="12" xfId="0" applyNumberFormat="1" applyBorder="1"/>
    <xf numFmtId="167" fontId="0" fillId="0" borderId="16" xfId="0" applyNumberFormat="1" applyBorder="1"/>
    <xf numFmtId="166" fontId="0" fillId="0" borderId="15" xfId="0" applyNumberFormat="1" applyFill="1" applyBorder="1"/>
    <xf numFmtId="0" fontId="0" fillId="0" borderId="18" xfId="0" applyFont="1" applyBorder="1"/>
    <xf numFmtId="0" fontId="0" fillId="0" borderId="19" xfId="0" applyBorder="1"/>
    <xf numFmtId="0" fontId="0" fillId="0" borderId="20" xfId="0" applyBorder="1"/>
    <xf numFmtId="166" fontId="0" fillId="0" borderId="21" xfId="0" applyNumberFormat="1" applyBorder="1"/>
    <xf numFmtId="166" fontId="0" fillId="0" borderId="22" xfId="0" applyNumberFormat="1" applyBorder="1"/>
    <xf numFmtId="166" fontId="0" fillId="0" borderId="19" xfId="0" applyNumberFormat="1" applyBorder="1"/>
    <xf numFmtId="0" fontId="0" fillId="0" borderId="21" xfId="0" applyBorder="1"/>
    <xf numFmtId="166" fontId="0" fillId="3" borderId="19" xfId="0" applyNumberFormat="1" applyFill="1" applyBorder="1"/>
    <xf numFmtId="167" fontId="0" fillId="0" borderId="19" xfId="0" applyNumberFormat="1" applyBorder="1"/>
    <xf numFmtId="3" fontId="0" fillId="2" borderId="14" xfId="0" applyNumberFormat="1" applyFill="1" applyBorder="1"/>
    <xf numFmtId="0" fontId="0" fillId="0" borderId="15" xfId="0" applyFill="1" applyBorder="1"/>
    <xf numFmtId="0" fontId="2" fillId="0" borderId="0" xfId="0" applyFont="1"/>
    <xf numFmtId="0" fontId="2" fillId="0" borderId="9" xfId="0" applyFont="1" applyBorder="1"/>
    <xf numFmtId="0" fontId="2" fillId="0" borderId="6" xfId="0" applyFont="1" applyBorder="1"/>
    <xf numFmtId="4" fontId="7" fillId="0" borderId="6" xfId="0" applyNumberFormat="1" applyFont="1" applyBorder="1"/>
    <xf numFmtId="3" fontId="7" fillId="0" borderId="8" xfId="0" applyNumberFormat="1" applyFont="1" applyBorder="1"/>
    <xf numFmtId="3" fontId="7" fillId="0" borderId="6" xfId="0" applyNumberFormat="1" applyFont="1" applyBorder="1"/>
    <xf numFmtId="0" fontId="5" fillId="0" borderId="0" xfId="20" applyFont="1" applyFill="1" applyProtection="1">
      <alignment/>
      <protection/>
    </xf>
    <xf numFmtId="1" fontId="5" fillId="0" borderId="0" xfId="20" applyNumberFormat="1" applyFont="1" applyFill="1" applyProtection="1">
      <alignment/>
      <protection/>
    </xf>
    <xf numFmtId="0" fontId="5" fillId="0" borderId="0" xfId="20" applyFont="1" applyFill="1" applyAlignment="1" applyProtection="1">
      <alignment horizontal="center"/>
      <protection/>
    </xf>
    <xf numFmtId="0" fontId="5" fillId="0" borderId="0" xfId="20" applyFont="1" applyFill="1" applyAlignment="1" applyProtection="1">
      <alignment horizontal="right"/>
      <protection/>
    </xf>
    <xf numFmtId="4" fontId="5" fillId="0" borderId="0" xfId="20" applyNumberFormat="1" applyFont="1" applyFill="1" applyProtection="1">
      <alignment/>
      <protection/>
    </xf>
    <xf numFmtId="0" fontId="5" fillId="0" borderId="0" xfId="20" applyFont="1" applyFill="1" applyAlignment="1" applyProtection="1">
      <alignment horizontal="left" vertical="top" wrapText="1"/>
      <protection/>
    </xf>
    <xf numFmtId="1" fontId="13" fillId="0" borderId="0" xfId="20" applyNumberFormat="1" applyFont="1" applyFill="1" applyBorder="1" applyAlignment="1" applyProtection="1">
      <alignment horizontal="left" vertical="top"/>
      <protection/>
    </xf>
    <xf numFmtId="0" fontId="5" fillId="0" borderId="0" xfId="20" applyFont="1" applyFill="1" applyAlignment="1" applyProtection="1">
      <alignment horizontal="left" vertical="top"/>
      <protection/>
    </xf>
    <xf numFmtId="14" fontId="14" fillId="0" borderId="0" xfId="20" applyNumberFormat="1" applyFont="1" applyFill="1" applyBorder="1" applyAlignment="1" applyProtection="1">
      <alignment horizontal="left" vertical="top"/>
      <protection locked="0"/>
    </xf>
    <xf numFmtId="0" fontId="5" fillId="0" borderId="0" xfId="20" applyFont="1" applyFill="1" applyAlignment="1" applyProtection="1">
      <alignment horizontal="center" vertical="top"/>
      <protection/>
    </xf>
    <xf numFmtId="4" fontId="15" fillId="0" borderId="0" xfId="20" applyNumberFormat="1" applyFont="1" applyFill="1" applyBorder="1" applyAlignment="1" applyProtection="1">
      <alignment horizontal="left" vertical="top"/>
      <protection/>
    </xf>
    <xf numFmtId="4" fontId="13" fillId="0" borderId="0" xfId="20" applyNumberFormat="1" applyFont="1" applyFill="1" applyBorder="1" applyAlignment="1" applyProtection="1">
      <alignment horizontal="right" vertical="top"/>
      <protection/>
    </xf>
    <xf numFmtId="1" fontId="14" fillId="0" borderId="0" xfId="20" applyNumberFormat="1" applyFont="1" applyFill="1" applyAlignment="1" applyProtection="1">
      <alignment horizontal="center" vertical="top"/>
      <protection locked="0"/>
    </xf>
    <xf numFmtId="0" fontId="15" fillId="6" borderId="23" xfId="20" applyFont="1" applyFill="1" applyBorder="1" applyAlignment="1" applyProtection="1">
      <alignment horizontal="center" wrapText="1"/>
      <protection/>
    </xf>
    <xf numFmtId="4" fontId="15" fillId="6" borderId="23" xfId="20" applyNumberFormat="1" applyFont="1" applyFill="1" applyBorder="1" applyAlignment="1" applyProtection="1">
      <alignment horizontal="center" wrapText="1"/>
      <protection/>
    </xf>
    <xf numFmtId="0" fontId="5" fillId="0" borderId="0" xfId="20" applyFont="1" applyFill="1" applyAlignment="1" applyProtection="1">
      <alignment wrapText="1"/>
      <protection/>
    </xf>
    <xf numFmtId="49" fontId="15" fillId="0" borderId="0" xfId="20" applyNumberFormat="1" applyFont="1" applyFill="1" applyBorder="1" applyAlignment="1" applyProtection="1">
      <alignment horizontal="center"/>
      <protection/>
    </xf>
    <xf numFmtId="49" fontId="15" fillId="0" borderId="0" xfId="20" applyNumberFormat="1" applyFont="1" applyFill="1" applyBorder="1" applyAlignment="1" applyProtection="1">
      <alignment horizontal="right"/>
      <protection/>
    </xf>
    <xf numFmtId="4" fontId="15" fillId="0" borderId="0" xfId="20" applyNumberFormat="1" applyFont="1" applyFill="1" applyBorder="1" applyAlignment="1" applyProtection="1">
      <alignment horizontal="center"/>
      <protection/>
    </xf>
    <xf numFmtId="1" fontId="16" fillId="0" borderId="0" xfId="20" applyNumberFormat="1" applyFont="1" applyFill="1" applyBorder="1" applyAlignment="1" applyProtection="1">
      <alignment horizontal="left" vertical="top"/>
      <protection/>
    </xf>
    <xf numFmtId="49" fontId="15" fillId="0" borderId="0" xfId="20" applyNumberFormat="1" applyFont="1" applyFill="1" applyBorder="1" applyAlignment="1" applyProtection="1">
      <alignment horizontal="left" vertical="top" wrapText="1"/>
      <protection/>
    </xf>
    <xf numFmtId="49" fontId="14" fillId="0" borderId="0" xfId="20" applyNumberFormat="1" applyFont="1" applyFill="1" applyBorder="1" applyAlignment="1" applyProtection="1">
      <alignment horizontal="left" vertical="top"/>
      <protection locked="0"/>
    </xf>
    <xf numFmtId="49" fontId="15" fillId="0" borderId="0" xfId="20" applyNumberFormat="1" applyFont="1" applyFill="1" applyBorder="1" applyAlignment="1" applyProtection="1">
      <alignment horizontal="center" vertical="top" wrapText="1"/>
      <protection/>
    </xf>
    <xf numFmtId="1" fontId="15" fillId="0" borderId="0" xfId="20" applyNumberFormat="1" applyFont="1" applyFill="1" applyBorder="1" applyAlignment="1" applyProtection="1">
      <alignment horizontal="right" vertical="top" wrapText="1"/>
      <protection/>
    </xf>
    <xf numFmtId="4" fontId="15" fillId="0" borderId="0" xfId="20" applyNumberFormat="1" applyFont="1" applyFill="1" applyBorder="1" applyAlignment="1" applyProtection="1">
      <alignment horizontal="right" vertical="top" wrapText="1"/>
      <protection/>
    </xf>
    <xf numFmtId="49" fontId="14" fillId="0" borderId="0" xfId="20" applyNumberFormat="1" applyFont="1" applyFill="1" applyBorder="1" applyAlignment="1" applyProtection="1">
      <alignment horizontal="left" vertical="top" wrapText="1"/>
      <protection locked="0"/>
    </xf>
    <xf numFmtId="14" fontId="14" fillId="0" borderId="0" xfId="20" applyNumberFormat="1" applyFont="1" applyFill="1" applyBorder="1" applyAlignment="1" applyProtection="1">
      <alignment horizontal="left" vertical="top" wrapText="1"/>
      <protection locked="0"/>
    </xf>
    <xf numFmtId="1" fontId="12" fillId="0" borderId="0" xfId="20" applyNumberFormat="1" applyFont="1" applyFill="1" applyBorder="1" applyAlignment="1" applyProtection="1">
      <alignment horizontal="left" vertical="top"/>
      <protection/>
    </xf>
    <xf numFmtId="49" fontId="17" fillId="0" borderId="0" xfId="20" applyNumberFormat="1" applyFont="1" applyFill="1" applyBorder="1" applyAlignment="1" applyProtection="1">
      <alignment horizontal="left" vertical="top" wrapText="1"/>
      <protection/>
    </xf>
    <xf numFmtId="49" fontId="18" fillId="0" borderId="24" xfId="20" applyNumberFormat="1" applyFont="1" applyFill="1" applyBorder="1" applyProtection="1">
      <alignment/>
      <protection/>
    </xf>
    <xf numFmtId="49" fontId="0" fillId="0" borderId="24" xfId="20" applyNumberFormat="1" applyFont="1" applyBorder="1" applyAlignment="1" applyProtection="1">
      <alignment horizontal="right"/>
      <protection/>
    </xf>
    <xf numFmtId="167" fontId="0" fillId="0" borderId="24" xfId="20" applyNumberFormat="1" applyFont="1" applyBorder="1" applyAlignment="1" applyProtection="1">
      <alignment horizontal="center"/>
      <protection/>
    </xf>
    <xf numFmtId="0" fontId="0" fillId="0" borderId="24" xfId="20" applyFont="1" applyBorder="1" applyProtection="1">
      <alignment/>
      <protection/>
    </xf>
    <xf numFmtId="0" fontId="0" fillId="0" borderId="24" xfId="20" applyFont="1" applyBorder="1" applyAlignment="1" applyProtection="1">
      <alignment horizontal="center"/>
      <protection/>
    </xf>
    <xf numFmtId="0" fontId="0" fillId="0" borderId="24" xfId="20" applyFont="1" applyFill="1" applyBorder="1" applyAlignment="1" applyProtection="1">
      <alignment horizontal="right"/>
      <protection/>
    </xf>
    <xf numFmtId="4" fontId="0" fillId="0" borderId="24" xfId="20" applyNumberFormat="1" applyFont="1" applyFill="1" applyBorder="1" applyProtection="1">
      <alignment/>
      <protection/>
    </xf>
    <xf numFmtId="4" fontId="0" fillId="0" borderId="0" xfId="20" applyNumberFormat="1" applyFont="1" applyFill="1" applyBorder="1" applyAlignment="1" applyProtection="1">
      <alignment horizontal="right"/>
      <protection/>
    </xf>
    <xf numFmtId="0" fontId="0" fillId="0" borderId="0" xfId="20" applyFont="1" applyProtection="1">
      <alignment/>
      <protection/>
    </xf>
    <xf numFmtId="49" fontId="18" fillId="0" borderId="0" xfId="20" applyNumberFormat="1" applyFont="1" applyFill="1" applyBorder="1" applyProtection="1">
      <alignment/>
      <protection/>
    </xf>
    <xf numFmtId="49" fontId="0" fillId="0" borderId="0" xfId="20" applyNumberFormat="1" applyFont="1" applyBorder="1" applyAlignment="1" applyProtection="1">
      <alignment horizontal="right"/>
      <protection/>
    </xf>
    <xf numFmtId="167" fontId="0" fillId="0" borderId="0" xfId="20" applyNumberFormat="1" applyFont="1" applyBorder="1" applyAlignment="1" applyProtection="1">
      <alignment horizontal="center"/>
      <protection/>
    </xf>
    <xf numFmtId="0" fontId="0" fillId="0" borderId="0" xfId="20" applyFont="1" applyBorder="1" applyProtection="1">
      <alignment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20" applyFont="1" applyFill="1" applyBorder="1" applyAlignment="1" applyProtection="1">
      <alignment horizontal="right"/>
      <protection/>
    </xf>
    <xf numFmtId="4" fontId="0" fillId="0" borderId="0" xfId="20" applyNumberFormat="1" applyFont="1" applyFill="1" applyBorder="1" applyProtection="1">
      <alignment/>
      <protection/>
    </xf>
    <xf numFmtId="0" fontId="19" fillId="0" borderId="0" xfId="20" applyFont="1" applyFill="1" applyBorder="1" applyAlignment="1" applyProtection="1">
      <alignment horizontal="left"/>
      <protection/>
    </xf>
    <xf numFmtId="0" fontId="0" fillId="0" borderId="0" xfId="20" applyFont="1" applyBorder="1" applyAlignment="1" applyProtection="1">
      <alignment horizontal="right"/>
      <protection/>
    </xf>
    <xf numFmtId="49" fontId="3" fillId="0" borderId="0" xfId="20" applyNumberFormat="1" applyFont="1" applyBorder="1" applyProtection="1">
      <alignment/>
      <protection/>
    </xf>
    <xf numFmtId="0" fontId="0" fillId="0" borderId="0" xfId="20" applyFont="1" applyFill="1" applyBorder="1" applyAlignment="1" applyProtection="1">
      <alignment horizontal="center"/>
      <protection/>
    </xf>
    <xf numFmtId="0" fontId="0" fillId="0" borderId="0" xfId="20" applyFont="1" applyFill="1" applyBorder="1" applyAlignment="1" applyProtection="1">
      <alignment horizontal="left"/>
      <protection/>
    </xf>
    <xf numFmtId="0" fontId="0" fillId="0" borderId="25" xfId="20" applyFont="1" applyFill="1" applyBorder="1" applyAlignment="1" applyProtection="1">
      <alignment horizontal="center"/>
      <protection/>
    </xf>
    <xf numFmtId="0" fontId="0" fillId="0" borderId="25" xfId="20" applyFont="1" applyBorder="1" applyAlignment="1" applyProtection="1">
      <alignment horizontal="center"/>
      <protection/>
    </xf>
    <xf numFmtId="0" fontId="0" fillId="0" borderId="25" xfId="20" applyFont="1" applyBorder="1" applyProtection="1">
      <alignment/>
      <protection/>
    </xf>
    <xf numFmtId="4" fontId="0" fillId="0" borderId="25" xfId="20" applyNumberFormat="1" applyFont="1" applyBorder="1" applyAlignment="1" applyProtection="1">
      <alignment horizontal="center"/>
      <protection/>
    </xf>
    <xf numFmtId="0" fontId="9" fillId="0" borderId="25" xfId="20" applyFont="1" applyBorder="1" applyAlignment="1" applyProtection="1">
      <alignment horizontal="right"/>
      <protection locked="0"/>
    </xf>
    <xf numFmtId="4" fontId="20" fillId="0" borderId="25" xfId="20" applyNumberFormat="1" applyFont="1" applyBorder="1" applyProtection="1">
      <alignment/>
      <protection locked="0"/>
    </xf>
    <xf numFmtId="4" fontId="0" fillId="0" borderId="25" xfId="20" applyNumberFormat="1" applyFont="1" applyBorder="1" applyProtection="1">
      <alignment/>
      <protection/>
    </xf>
    <xf numFmtId="4" fontId="0" fillId="0" borderId="25" xfId="20" applyNumberFormat="1" applyFont="1" applyFill="1" applyBorder="1" applyProtection="1">
      <alignment/>
      <protection/>
    </xf>
    <xf numFmtId="0" fontId="9" fillId="0" borderId="0" xfId="20" applyFont="1" applyFill="1" applyBorder="1" applyAlignment="1" applyProtection="1">
      <alignment horizontal="right"/>
      <protection/>
    </xf>
    <xf numFmtId="4" fontId="0" fillId="0" borderId="0" xfId="20" applyNumberFormat="1" applyFont="1" applyFill="1" applyBorder="1" applyAlignment="1" applyProtection="1">
      <alignment horizontal="center"/>
      <protection/>
    </xf>
    <xf numFmtId="0" fontId="9" fillId="0" borderId="0" xfId="20" applyFont="1" applyBorder="1" applyAlignment="1" applyProtection="1">
      <alignment horizontal="right"/>
      <protection/>
    </xf>
    <xf numFmtId="4" fontId="20" fillId="0" borderId="25" xfId="20" applyNumberFormat="1" applyFont="1" applyBorder="1" applyProtection="1">
      <alignment/>
      <protection/>
    </xf>
    <xf numFmtId="4" fontId="0" fillId="0" borderId="0" xfId="20" applyNumberFormat="1" applyFont="1" applyBorder="1" applyAlignment="1" applyProtection="1">
      <alignment horizontal="center"/>
      <protection/>
    </xf>
    <xf numFmtId="4" fontId="0" fillId="0" borderId="0" xfId="20" applyNumberFormat="1" applyFont="1" applyBorder="1" applyProtection="1">
      <alignment/>
      <protection/>
    </xf>
    <xf numFmtId="0" fontId="6" fillId="0" borderId="21" xfId="20" applyFont="1" applyFill="1" applyBorder="1" applyAlignment="1" applyProtection="1">
      <alignment horizontal="left"/>
      <protection/>
    </xf>
    <xf numFmtId="0" fontId="0" fillId="0" borderId="19" xfId="20" applyFont="1" applyBorder="1" applyAlignment="1" applyProtection="1">
      <alignment horizontal="center"/>
      <protection/>
    </xf>
    <xf numFmtId="0" fontId="0" fillId="0" borderId="19" xfId="20" applyFont="1" applyBorder="1" applyProtection="1">
      <alignment/>
      <protection/>
    </xf>
    <xf numFmtId="4" fontId="0" fillId="0" borderId="19" xfId="20" applyNumberFormat="1" applyFont="1" applyBorder="1" applyAlignment="1" applyProtection="1">
      <alignment horizontal="center"/>
      <protection/>
    </xf>
    <xf numFmtId="0" fontId="9" fillId="0" borderId="19" xfId="20" applyFont="1" applyBorder="1" applyAlignment="1" applyProtection="1">
      <alignment horizontal="right"/>
      <protection/>
    </xf>
    <xf numFmtId="4" fontId="0" fillId="0" borderId="19" xfId="20" applyNumberFormat="1" applyFont="1" applyBorder="1" applyProtection="1">
      <alignment/>
      <protection/>
    </xf>
    <xf numFmtId="4" fontId="19" fillId="0" borderId="20" xfId="20" applyNumberFormat="1" applyFont="1" applyFill="1" applyBorder="1" applyProtection="1">
      <alignment/>
      <protection/>
    </xf>
    <xf numFmtId="0" fontId="6" fillId="0" borderId="0" xfId="20" applyFont="1" applyFill="1" applyBorder="1" applyAlignment="1" applyProtection="1">
      <alignment horizontal="left"/>
      <protection/>
    </xf>
    <xf numFmtId="49" fontId="0" fillId="0" borderId="25" xfId="20" applyNumberFormat="1" applyFont="1" applyFill="1" applyBorder="1" applyAlignment="1" applyProtection="1">
      <alignment horizontal="left"/>
      <protection/>
    </xf>
    <xf numFmtId="0" fontId="9" fillId="0" borderId="25" xfId="20" applyFont="1" applyBorder="1" applyProtection="1">
      <alignment/>
      <protection locked="0"/>
    </xf>
    <xf numFmtId="49" fontId="0" fillId="0" borderId="25" xfId="20" applyNumberFormat="1" applyFont="1" applyFill="1" applyBorder="1" applyProtection="1">
      <alignment/>
      <protection/>
    </xf>
    <xf numFmtId="167" fontId="0" fillId="0" borderId="25" xfId="20" applyNumberFormat="1" applyFont="1" applyFill="1" applyBorder="1" applyAlignment="1" applyProtection="1">
      <alignment horizontal="center"/>
      <protection/>
    </xf>
    <xf numFmtId="0" fontId="0" fillId="0" borderId="25" xfId="20" applyFont="1" applyBorder="1" applyAlignment="1" applyProtection="1">
      <alignment horizontal="left"/>
      <protection/>
    </xf>
    <xf numFmtId="4" fontId="0" fillId="0" borderId="25" xfId="20" applyNumberFormat="1" applyFont="1" applyBorder="1" applyAlignment="1" applyProtection="1">
      <alignment horizontal="right"/>
      <protection/>
    </xf>
    <xf numFmtId="0" fontId="19" fillId="0" borderId="0" xfId="20" applyFont="1" applyProtection="1">
      <alignment/>
      <protection/>
    </xf>
    <xf numFmtId="0" fontId="0" fillId="0" borderId="21" xfId="20" applyFont="1" applyFill="1" applyBorder="1" applyAlignment="1" applyProtection="1">
      <alignment horizontal="center"/>
      <protection/>
    </xf>
    <xf numFmtId="49" fontId="0" fillId="0" borderId="20" xfId="20" applyNumberFormat="1" applyFont="1" applyFill="1" applyBorder="1" applyProtection="1">
      <alignment/>
      <protection/>
    </xf>
    <xf numFmtId="0" fontId="0" fillId="0" borderId="26" xfId="20" applyFont="1" applyBorder="1" applyAlignment="1" applyProtection="1">
      <alignment horizontal="center"/>
      <protection/>
    </xf>
    <xf numFmtId="0" fontId="9" fillId="0" borderId="26" xfId="20" applyFont="1" applyBorder="1" applyProtection="1">
      <alignment/>
      <protection locked="0"/>
    </xf>
    <xf numFmtId="4" fontId="0" fillId="0" borderId="26" xfId="20" applyNumberFormat="1" applyFont="1" applyFill="1" applyBorder="1" applyProtection="1">
      <alignment/>
      <protection/>
    </xf>
    <xf numFmtId="4" fontId="0" fillId="0" borderId="26" xfId="20" applyNumberFormat="1" applyFont="1" applyBorder="1" applyAlignment="1" applyProtection="1">
      <alignment horizontal="right"/>
      <protection/>
    </xf>
    <xf numFmtId="49" fontId="6" fillId="0" borderId="25" xfId="20" applyNumberFormat="1" applyFont="1" applyBorder="1" applyProtection="1">
      <alignment/>
      <protection/>
    </xf>
    <xf numFmtId="0" fontId="0" fillId="0" borderId="19" xfId="20" applyFont="1" applyFill="1" applyBorder="1" applyAlignment="1" applyProtection="1">
      <alignment horizontal="center"/>
      <protection/>
    </xf>
    <xf numFmtId="4" fontId="0" fillId="0" borderId="20" xfId="20" applyNumberFormat="1" applyFont="1" applyFill="1" applyBorder="1" applyProtection="1">
      <alignment/>
      <protection/>
    </xf>
    <xf numFmtId="0" fontId="0" fillId="0" borderId="27" xfId="20" applyFont="1" applyBorder="1" applyAlignment="1" applyProtection="1">
      <alignment horizontal="center"/>
      <protection/>
    </xf>
    <xf numFmtId="0" fontId="9" fillId="0" borderId="27" xfId="20" applyFont="1" applyBorder="1" applyProtection="1">
      <alignment/>
      <protection locked="0"/>
    </xf>
    <xf numFmtId="4" fontId="0" fillId="0" borderId="27" xfId="20" applyNumberFormat="1" applyFont="1" applyFill="1" applyBorder="1" applyProtection="1">
      <alignment/>
      <protection/>
    </xf>
    <xf numFmtId="0" fontId="0" fillId="0" borderId="27" xfId="20" applyFont="1" applyFill="1" applyBorder="1" applyAlignment="1" applyProtection="1">
      <alignment horizontal="center"/>
      <protection/>
    </xf>
    <xf numFmtId="0" fontId="9" fillId="0" borderId="27" xfId="20" applyFont="1" applyFill="1" applyBorder="1" applyProtection="1">
      <alignment/>
      <protection locked="0"/>
    </xf>
    <xf numFmtId="4" fontId="9" fillId="0" borderId="27" xfId="20" applyNumberFormat="1" applyFont="1" applyFill="1" applyBorder="1" applyProtection="1">
      <alignment/>
      <protection locked="0"/>
    </xf>
    <xf numFmtId="0" fontId="9" fillId="0" borderId="25" xfId="20" applyFont="1" applyFill="1" applyBorder="1" applyProtection="1">
      <alignment/>
      <protection locked="0"/>
    </xf>
    <xf numFmtId="4" fontId="9" fillId="0" borderId="25" xfId="20" applyNumberFormat="1" applyFont="1" applyFill="1" applyBorder="1" applyProtection="1">
      <alignment/>
      <protection locked="0"/>
    </xf>
    <xf numFmtId="0" fontId="0" fillId="0" borderId="26" xfId="20" applyFont="1" applyFill="1" applyBorder="1" applyAlignment="1" applyProtection="1">
      <alignment horizontal="center"/>
      <protection/>
    </xf>
    <xf numFmtId="0" fontId="9" fillId="0" borderId="26" xfId="20" applyFont="1" applyFill="1" applyBorder="1" applyProtection="1">
      <alignment/>
      <protection locked="0"/>
    </xf>
    <xf numFmtId="4" fontId="9" fillId="0" borderId="26" xfId="20" applyNumberFormat="1" applyFont="1" applyFill="1" applyBorder="1" applyProtection="1">
      <alignment/>
      <protection locked="0"/>
    </xf>
    <xf numFmtId="49" fontId="9" fillId="0" borderId="19" xfId="20" applyNumberFormat="1" applyFont="1" applyFill="1" applyBorder="1" applyAlignment="1" applyProtection="1">
      <alignment horizontal="center"/>
      <protection locked="0"/>
    </xf>
    <xf numFmtId="49" fontId="9" fillId="0" borderId="20" xfId="20" applyNumberFormat="1" applyFont="1" applyFill="1" applyBorder="1" applyAlignment="1" applyProtection="1">
      <alignment horizontal="center"/>
      <protection locked="0"/>
    </xf>
    <xf numFmtId="49" fontId="6" fillId="0" borderId="0" xfId="20" applyNumberFormat="1" applyFont="1" applyBorder="1" applyProtection="1">
      <alignment/>
      <protection/>
    </xf>
    <xf numFmtId="0" fontId="0" fillId="0" borderId="21" xfId="20" applyFont="1" applyBorder="1" applyAlignment="1" applyProtection="1">
      <alignment horizontal="center"/>
      <protection/>
    </xf>
    <xf numFmtId="0" fontId="9" fillId="0" borderId="19" xfId="20" applyFont="1" applyBorder="1" applyProtection="1">
      <alignment/>
      <protection locked="0"/>
    </xf>
    <xf numFmtId="4" fontId="9" fillId="0" borderId="19" xfId="20" applyNumberFormat="1" applyFont="1" applyFill="1" applyBorder="1" applyProtection="1">
      <alignment/>
      <protection locked="0"/>
    </xf>
    <xf numFmtId="0" fontId="9" fillId="0" borderId="19" xfId="20" applyFont="1" applyFill="1" applyBorder="1" applyProtection="1">
      <alignment/>
      <protection locked="0"/>
    </xf>
    <xf numFmtId="0" fontId="0" fillId="0" borderId="0" xfId="20" applyFont="1" applyFill="1" applyBorder="1" applyProtection="1">
      <alignment/>
      <protection/>
    </xf>
    <xf numFmtId="4" fontId="8" fillId="0" borderId="0" xfId="20" applyNumberFormat="1" applyFont="1" applyFill="1" applyBorder="1" applyProtection="1">
      <alignment/>
      <protection/>
    </xf>
    <xf numFmtId="4" fontId="9" fillId="7" borderId="20" xfId="20" applyNumberFormat="1" applyFont="1" applyFill="1" applyBorder="1" applyProtection="1">
      <alignment/>
      <protection locked="0"/>
    </xf>
    <xf numFmtId="49" fontId="0" fillId="7" borderId="25" xfId="20" applyNumberFormat="1" applyFont="1" applyFill="1" applyBorder="1" applyAlignment="1" applyProtection="1">
      <alignment horizontal="left"/>
      <protection/>
    </xf>
    <xf numFmtId="49" fontId="0" fillId="7" borderId="21" xfId="20" applyNumberFormat="1" applyFont="1" applyFill="1" applyBorder="1" applyAlignment="1" applyProtection="1">
      <alignment horizontal="left"/>
      <protection/>
    </xf>
    <xf numFmtId="4" fontId="0" fillId="7" borderId="20" xfId="20" applyNumberFormat="1" applyFont="1" applyFill="1" applyBorder="1" applyProtection="1">
      <alignment/>
      <protection/>
    </xf>
    <xf numFmtId="49" fontId="0" fillId="0" borderId="21" xfId="20" applyNumberFormat="1" applyFont="1" applyFill="1" applyBorder="1" applyAlignment="1" applyProtection="1">
      <alignment horizontal="left"/>
      <protection/>
    </xf>
    <xf numFmtId="49" fontId="0" fillId="0" borderId="19" xfId="20" applyNumberFormat="1" applyFont="1" applyFill="1" applyBorder="1" applyAlignment="1" applyProtection="1">
      <alignment horizontal="left"/>
      <protection/>
    </xf>
    <xf numFmtId="49" fontId="0" fillId="0" borderId="20" xfId="20" applyNumberFormat="1" applyFont="1" applyFill="1" applyBorder="1" applyAlignment="1" applyProtection="1">
      <alignment horizontal="center"/>
      <protection/>
    </xf>
    <xf numFmtId="4" fontId="0" fillId="0" borderId="20" xfId="20" applyNumberFormat="1" applyFont="1" applyFill="1" applyBorder="1" applyAlignment="1" applyProtection="1">
      <alignment/>
      <protection hidden="1"/>
    </xf>
    <xf numFmtId="49" fontId="0" fillId="0" borderId="19" xfId="20" applyNumberFormat="1" applyFont="1" applyFill="1" applyBorder="1" applyAlignment="1" applyProtection="1">
      <alignment horizontal="center"/>
      <protection/>
    </xf>
    <xf numFmtId="4" fontId="20" fillId="0" borderId="20" xfId="20" applyNumberFormat="1" applyFont="1" applyFill="1" applyBorder="1" applyAlignment="1" applyProtection="1">
      <alignment/>
      <protection locked="0"/>
    </xf>
    <xf numFmtId="4" fontId="0" fillId="0" borderId="20" xfId="20" applyNumberFormat="1" applyFont="1" applyFill="1" applyBorder="1" applyAlignment="1" applyProtection="1">
      <alignment/>
      <protection/>
    </xf>
    <xf numFmtId="49" fontId="0" fillId="0" borderId="28" xfId="20" applyNumberFormat="1" applyFont="1" applyFill="1" applyBorder="1" applyAlignment="1" applyProtection="1">
      <alignment horizontal="left"/>
      <protection/>
    </xf>
    <xf numFmtId="49" fontId="0" fillId="0" borderId="2" xfId="20" applyNumberFormat="1" applyFont="1" applyFill="1" applyBorder="1" applyAlignment="1" applyProtection="1">
      <alignment horizontal="left"/>
      <protection/>
    </xf>
    <xf numFmtId="49" fontId="0" fillId="0" borderId="2" xfId="20" applyNumberFormat="1" applyFont="1" applyFill="1" applyBorder="1" applyAlignment="1" applyProtection="1">
      <alignment horizontal="center"/>
      <protection/>
    </xf>
    <xf numFmtId="4" fontId="20" fillId="0" borderId="29" xfId="20" applyNumberFormat="1" applyFont="1" applyFill="1" applyBorder="1" applyAlignment="1" applyProtection="1">
      <alignment/>
      <protection locked="0"/>
    </xf>
    <xf numFmtId="0" fontId="0" fillId="0" borderId="26" xfId="20" applyFont="1" applyBorder="1" applyProtection="1">
      <alignment/>
      <protection/>
    </xf>
    <xf numFmtId="0" fontId="0" fillId="0" borderId="19" xfId="20" applyFont="1" applyFill="1" applyBorder="1" applyAlignment="1" applyProtection="1">
      <alignment horizontal="left"/>
      <protection/>
    </xf>
    <xf numFmtId="4" fontId="0" fillId="0" borderId="19" xfId="20" applyNumberFormat="1" applyFont="1" applyFill="1" applyBorder="1" applyAlignment="1" applyProtection="1">
      <alignment/>
      <protection/>
    </xf>
    <xf numFmtId="0" fontId="0" fillId="0" borderId="20" xfId="20" applyFont="1" applyFill="1" applyBorder="1" applyProtection="1">
      <alignment/>
      <protection/>
    </xf>
    <xf numFmtId="49" fontId="0" fillId="0" borderId="15" xfId="20" applyNumberFormat="1" applyFont="1" applyFill="1" applyBorder="1" applyAlignment="1" applyProtection="1">
      <alignment horizontal="left"/>
      <protection/>
    </xf>
    <xf numFmtId="49" fontId="0" fillId="0" borderId="14" xfId="20" applyNumberFormat="1" applyFont="1" applyFill="1" applyBorder="1" applyAlignment="1" applyProtection="1">
      <alignment horizontal="left"/>
      <protection/>
    </xf>
    <xf numFmtId="49" fontId="0" fillId="0" borderId="14" xfId="20" applyNumberFormat="1" applyFont="1" applyFill="1" applyBorder="1" applyAlignment="1" applyProtection="1">
      <alignment horizontal="center"/>
      <protection/>
    </xf>
    <xf numFmtId="49" fontId="0" fillId="0" borderId="14" xfId="20" applyNumberFormat="1" applyFont="1" applyFill="1" applyBorder="1" applyAlignment="1" applyProtection="1">
      <alignment horizontal="right"/>
      <protection/>
    </xf>
    <xf numFmtId="4" fontId="9" fillId="0" borderId="16" xfId="20" applyNumberFormat="1" applyFont="1" applyFill="1" applyBorder="1" applyAlignment="1" applyProtection="1">
      <alignment horizontal="right"/>
      <protection/>
    </xf>
    <xf numFmtId="4" fontId="9" fillId="7" borderId="16" xfId="20" applyNumberFormat="1" applyFont="1" applyFill="1" applyBorder="1" applyProtection="1">
      <alignment/>
      <protection locked="0"/>
    </xf>
    <xf numFmtId="49" fontId="0" fillId="0" borderId="20" xfId="20" applyNumberFormat="1" applyFont="1" applyFill="1" applyBorder="1" applyAlignment="1" applyProtection="1">
      <alignment horizontal="left"/>
      <protection/>
    </xf>
    <xf numFmtId="4" fontId="0" fillId="7" borderId="20" xfId="20" applyNumberFormat="1" applyFont="1" applyFill="1" applyBorder="1" applyProtection="1">
      <alignment/>
      <protection hidden="1"/>
    </xf>
    <xf numFmtId="167" fontId="3" fillId="0" borderId="20" xfId="20" applyNumberFormat="1" applyFont="1" applyBorder="1" applyAlignment="1" applyProtection="1">
      <alignment horizontal="center"/>
      <protection hidden="1"/>
    </xf>
    <xf numFmtId="4" fontId="19" fillId="0" borderId="25" xfId="20" applyNumberFormat="1" applyFont="1" applyFill="1" applyBorder="1" applyProtection="1">
      <alignment/>
      <protection/>
    </xf>
    <xf numFmtId="4" fontId="0" fillId="0" borderId="25" xfId="20" applyNumberFormat="1" applyFont="1" applyBorder="1" applyProtection="1">
      <alignment/>
      <protection hidden="1"/>
    </xf>
    <xf numFmtId="4" fontId="0" fillId="0" borderId="29" xfId="20" applyNumberFormat="1" applyFont="1" applyFill="1" applyBorder="1" applyAlignment="1" applyProtection="1">
      <alignment/>
      <protection/>
    </xf>
    <xf numFmtId="4" fontId="19" fillId="0" borderId="26" xfId="20" applyNumberFormat="1" applyFont="1" applyBorder="1" applyProtection="1">
      <alignment/>
      <protection hidden="1"/>
    </xf>
    <xf numFmtId="0" fontId="19" fillId="0" borderId="30" xfId="20" applyFont="1" applyFill="1" applyBorder="1" applyAlignment="1" applyProtection="1">
      <alignment horizontal="left"/>
      <protection/>
    </xf>
    <xf numFmtId="0" fontId="3" fillId="0" borderId="31" xfId="20" applyFont="1" applyBorder="1" applyAlignment="1" applyProtection="1">
      <alignment horizontal="center"/>
      <protection/>
    </xf>
    <xf numFmtId="0" fontId="3" fillId="0" borderId="31" xfId="20" applyFont="1" applyBorder="1" applyProtection="1">
      <alignment/>
      <protection/>
    </xf>
    <xf numFmtId="4" fontId="3" fillId="0" borderId="31" xfId="20" applyNumberFormat="1" applyFont="1" applyBorder="1" applyAlignment="1" applyProtection="1">
      <alignment horizontal="center"/>
      <protection/>
    </xf>
    <xf numFmtId="0" fontId="21" fillId="0" borderId="31" xfId="20" applyFont="1" applyBorder="1" applyAlignment="1" applyProtection="1">
      <alignment horizontal="right"/>
      <protection/>
    </xf>
    <xf numFmtId="4" fontId="3" fillId="0" borderId="31" xfId="20" applyNumberFormat="1" applyFont="1" applyBorder="1" applyProtection="1">
      <alignment/>
      <protection/>
    </xf>
    <xf numFmtId="0" fontId="3" fillId="0" borderId="30" xfId="20" applyFont="1" applyBorder="1" applyAlignment="1" applyProtection="1">
      <alignment horizontal="center"/>
      <protection/>
    </xf>
    <xf numFmtId="167" fontId="3" fillId="0" borderId="32" xfId="20" applyNumberFormat="1" applyFont="1" applyBorder="1" applyAlignment="1" applyProtection="1">
      <alignment horizontal="center"/>
      <protection hidden="1"/>
    </xf>
    <xf numFmtId="4" fontId="19" fillId="0" borderId="33" xfId="20" applyNumberFormat="1" applyFont="1" applyFill="1" applyBorder="1" applyProtection="1">
      <alignment/>
      <protection/>
    </xf>
    <xf numFmtId="3" fontId="22" fillId="0" borderId="0" xfId="0" applyNumberFormat="1" applyFont="1"/>
    <xf numFmtId="3" fontId="0" fillId="0" borderId="0" xfId="0" applyNumberFormat="1" applyAlignment="1">
      <alignment horizontal="right" vertical="center" indent="2"/>
    </xf>
    <xf numFmtId="3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3" fontId="22" fillId="0" borderId="0" xfId="0" applyNumberFormat="1" applyFont="1" applyAlignment="1">
      <alignment vertical="top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9" fontId="3" fillId="0" borderId="34" xfId="0" applyNumberFormat="1" applyFont="1" applyFill="1" applyBorder="1" applyAlignment="1">
      <alignment horizontal="center" vertical="center"/>
    </xf>
    <xf numFmtId="168" fontId="0" fillId="0" borderId="34" xfId="0" applyNumberFormat="1" applyFont="1" applyBorder="1" applyAlignment="1">
      <alignment horizontal="right" vertical="center"/>
    </xf>
    <xf numFmtId="165" fontId="0" fillId="0" borderId="34" xfId="0" applyNumberFormat="1" applyFont="1" applyFill="1" applyBorder="1" applyAlignment="1">
      <alignment horizontal="right" vertical="center"/>
    </xf>
    <xf numFmtId="3" fontId="3" fillId="0" borderId="34" xfId="0" applyNumberFormat="1" applyFont="1" applyBorder="1" applyAlignment="1">
      <alignment horizontal="center" vertical="center" wrapText="1"/>
    </xf>
    <xf numFmtId="168" fontId="0" fillId="0" borderId="34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horizontal="right" vertical="center" indent="2"/>
    </xf>
    <xf numFmtId="9" fontId="0" fillId="0" borderId="0" xfId="0" applyNumberFormat="1" applyBorder="1"/>
    <xf numFmtId="3" fontId="4" fillId="0" borderId="0" xfId="0" applyNumberFormat="1" applyFont="1" applyBorder="1"/>
    <xf numFmtId="0" fontId="2" fillId="0" borderId="35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9" fontId="0" fillId="0" borderId="0" xfId="0" applyNumberFormat="1" applyAlignment="1">
      <alignment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right" vertical="center"/>
      <protection locked="0"/>
    </xf>
    <xf numFmtId="3" fontId="0" fillId="0" borderId="37" xfId="0" applyNumberFormat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9" fontId="0" fillId="0" borderId="37" xfId="0" applyNumberFormat="1" applyFill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0" fillId="0" borderId="34" xfId="0" applyBorder="1" applyAlignment="1">
      <alignment horizontal="right"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9" fontId="0" fillId="0" borderId="34" xfId="0" applyNumberFormat="1" applyFill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4" xfId="0" applyNumberFormat="1" applyBorder="1" applyAlignment="1">
      <alignment horizontal="right" vertical="center"/>
    </xf>
    <xf numFmtId="3" fontId="3" fillId="0" borderId="39" xfId="0" applyNumberFormat="1" applyFont="1" applyBorder="1" applyAlignment="1">
      <alignment horizontal="center" vertical="center"/>
    </xf>
    <xf numFmtId="3" fontId="3" fillId="6" borderId="35" xfId="0" applyNumberFormat="1" applyFont="1" applyFill="1" applyBorder="1" applyAlignment="1">
      <alignment vertical="center"/>
    </xf>
    <xf numFmtId="164" fontId="0" fillId="6" borderId="34" xfId="0" applyNumberFormat="1" applyFont="1" applyFill="1" applyBorder="1" applyAlignment="1">
      <alignment horizontal="right" vertical="center"/>
    </xf>
    <xf numFmtId="9" fontId="2" fillId="6" borderId="34" xfId="0" applyNumberFormat="1" applyFont="1" applyFill="1" applyBorder="1" applyAlignment="1">
      <alignment vertical="center"/>
    </xf>
    <xf numFmtId="3" fontId="0" fillId="6" borderId="34" xfId="0" applyNumberFormat="1" applyFill="1" applyBorder="1" applyAlignment="1">
      <alignment vertical="center"/>
    </xf>
    <xf numFmtId="165" fontId="0" fillId="6" borderId="34" xfId="0" applyNumberFormat="1" applyFill="1" applyBorder="1" applyAlignment="1">
      <alignment vertical="center"/>
    </xf>
    <xf numFmtId="165" fontId="0" fillId="6" borderId="39" xfId="0" applyNumberFormat="1" applyFill="1" applyBorder="1" applyAlignment="1">
      <alignment vertical="center"/>
    </xf>
    <xf numFmtId="9" fontId="0" fillId="0" borderId="39" xfId="0" applyNumberFormat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165" fontId="0" fillId="0" borderId="34" xfId="0" applyNumberFormat="1" applyFill="1" applyBorder="1" applyAlignment="1">
      <alignment horizontal="right" vertical="center"/>
    </xf>
    <xf numFmtId="1" fontId="0" fillId="0" borderId="34" xfId="0" applyNumberFormat="1" applyFill="1" applyBorder="1" applyAlignment="1">
      <alignment horizontal="right" vertical="center"/>
    </xf>
    <xf numFmtId="165" fontId="0" fillId="0" borderId="34" xfId="0" applyNumberFormat="1" applyFont="1" applyFill="1" applyBorder="1" applyAlignment="1">
      <alignment horizontal="right" vertical="center"/>
    </xf>
    <xf numFmtId="165" fontId="0" fillId="0" borderId="34" xfId="0" applyNumberFormat="1" applyBorder="1" applyAlignment="1">
      <alignment horizontal="right" vertical="center"/>
    </xf>
    <xf numFmtId="3" fontId="0" fillId="0" borderId="35" xfId="0" applyNumberFormat="1" applyFont="1" applyFill="1" applyBorder="1" applyAlignment="1">
      <alignment vertical="center"/>
    </xf>
    <xf numFmtId="3" fontId="3" fillId="8" borderId="35" xfId="0" applyNumberFormat="1" applyFont="1" applyFill="1" applyBorder="1" applyAlignment="1">
      <alignment vertical="center"/>
    </xf>
    <xf numFmtId="168" fontId="3" fillId="8" borderId="34" xfId="0" applyNumberFormat="1" applyFont="1" applyFill="1" applyBorder="1" applyAlignment="1">
      <alignment horizontal="right" vertical="center"/>
    </xf>
    <xf numFmtId="165" fontId="3" fillId="8" borderId="34" xfId="0" applyNumberFormat="1" applyFont="1" applyFill="1" applyBorder="1" applyAlignment="1">
      <alignment horizontal="right" vertical="center"/>
    </xf>
    <xf numFmtId="1" fontId="3" fillId="8" borderId="34" xfId="0" applyNumberFormat="1" applyFont="1" applyFill="1" applyBorder="1" applyAlignment="1">
      <alignment horizontal="right" vertical="center"/>
    </xf>
    <xf numFmtId="9" fontId="3" fillId="8" borderId="39" xfId="0" applyNumberFormat="1" applyFont="1" applyFill="1" applyBorder="1" applyAlignment="1">
      <alignment vertical="center"/>
    </xf>
    <xf numFmtId="165" fontId="3" fillId="8" borderId="3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165" fontId="0" fillId="0" borderId="34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horizontal="right" vertical="center"/>
    </xf>
    <xf numFmtId="9" fontId="2" fillId="0" borderId="41" xfId="0" applyNumberFormat="1" applyFont="1" applyBorder="1" applyAlignment="1">
      <alignment vertical="center"/>
    </xf>
    <xf numFmtId="168" fontId="7" fillId="0" borderId="41" xfId="0" applyNumberFormat="1" applyFont="1" applyBorder="1" applyAlignment="1">
      <alignment vertical="center"/>
    </xf>
    <xf numFmtId="168" fontId="7" fillId="0" borderId="42" xfId="0" applyNumberFormat="1" applyFont="1" applyBorder="1" applyAlignment="1">
      <alignment vertical="center"/>
    </xf>
    <xf numFmtId="3" fontId="0" fillId="0" borderId="35" xfId="0" applyNumberFormat="1" applyFill="1" applyBorder="1" applyAlignment="1">
      <alignment vertical="top"/>
    </xf>
    <xf numFmtId="168" fontId="0" fillId="0" borderId="34" xfId="0" applyNumberFormat="1" applyFont="1" applyFill="1" applyBorder="1" applyAlignment="1">
      <alignment horizontal="right" vertical="top"/>
    </xf>
    <xf numFmtId="1" fontId="0" fillId="0" borderId="34" xfId="0" applyNumberFormat="1" applyFill="1" applyBorder="1" applyAlignment="1">
      <alignment horizontal="right" vertical="top"/>
    </xf>
    <xf numFmtId="165" fontId="0" fillId="0" borderId="34" xfId="0" applyNumberFormat="1" applyFont="1" applyFill="1" applyBorder="1" applyAlignment="1">
      <alignment horizontal="right" vertical="top"/>
    </xf>
    <xf numFmtId="165" fontId="0" fillId="0" borderId="34" xfId="0" applyNumberFormat="1" applyBorder="1" applyAlignment="1">
      <alignment horizontal="right" vertical="top"/>
    </xf>
    <xf numFmtId="9" fontId="0" fillId="0" borderId="39" xfId="0" applyNumberFormat="1" applyBorder="1" applyAlignment="1">
      <alignment vertical="top"/>
    </xf>
    <xf numFmtId="9" fontId="0" fillId="0" borderId="39" xfId="0" applyNumberFormat="1" applyFill="1" applyBorder="1" applyAlignment="1">
      <alignment vertical="center"/>
    </xf>
    <xf numFmtId="168" fontId="0" fillId="0" borderId="34" xfId="0" applyNumberForma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 vertical="top"/>
    </xf>
    <xf numFmtId="3" fontId="3" fillId="0" borderId="35" xfId="0" applyNumberFormat="1" applyFont="1" applyFill="1" applyBorder="1" applyAlignment="1">
      <alignment vertical="center"/>
    </xf>
    <xf numFmtId="164" fontId="0" fillId="0" borderId="34" xfId="0" applyNumberFormat="1" applyFont="1" applyFill="1" applyBorder="1" applyAlignment="1">
      <alignment horizontal="right" vertical="center"/>
    </xf>
    <xf numFmtId="9" fontId="2" fillId="0" borderId="34" xfId="0" applyNumberFormat="1" applyFont="1" applyFill="1" applyBorder="1" applyAlignment="1">
      <alignment vertical="center"/>
    </xf>
    <xf numFmtId="165" fontId="0" fillId="0" borderId="34" xfId="0" applyNumberFormat="1" applyFill="1" applyBorder="1" applyAlignment="1">
      <alignment vertical="center"/>
    </xf>
    <xf numFmtId="165" fontId="0" fillId="0" borderId="39" xfId="0" applyNumberFormat="1" applyFill="1" applyBorder="1" applyAlignment="1">
      <alignment vertical="center"/>
    </xf>
    <xf numFmtId="3" fontId="3" fillId="8" borderId="35" xfId="0" applyNumberFormat="1" applyFont="1" applyFill="1" applyBorder="1" applyAlignment="1">
      <alignment vertical="center"/>
    </xf>
    <xf numFmtId="168" fontId="0" fillId="6" borderId="34" xfId="0" applyNumberFormat="1" applyFill="1" applyBorder="1" applyAlignment="1">
      <alignment vertical="center"/>
    </xf>
    <xf numFmtId="168" fontId="0" fillId="6" borderId="39" xfId="0" applyNumberFormat="1" applyFill="1" applyBorder="1" applyAlignment="1">
      <alignment vertical="center"/>
    </xf>
    <xf numFmtId="3" fontId="0" fillId="0" borderId="43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44" xfId="0" applyNumberFormat="1" applyFill="1" applyBorder="1" applyAlignment="1">
      <alignment vertical="top"/>
    </xf>
    <xf numFmtId="3" fontId="18" fillId="0" borderId="35" xfId="0" applyNumberFormat="1" applyFont="1" applyBorder="1" applyAlignment="1">
      <alignment horizontal="center" vertical="center"/>
    </xf>
    <xf numFmtId="3" fontId="3" fillId="0" borderId="43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65" fontId="3" fillId="0" borderId="44" xfId="0" applyNumberFormat="1" applyFont="1" applyFill="1" applyBorder="1" applyAlignment="1">
      <alignment horizontal="right" vertical="center"/>
    </xf>
    <xf numFmtId="168" fontId="3" fillId="6" borderId="34" xfId="0" applyNumberFormat="1" applyFont="1" applyFill="1" applyBorder="1" applyAlignment="1">
      <alignment vertical="center"/>
    </xf>
    <xf numFmtId="0" fontId="0" fillId="0" borderId="43" xfId="0" applyBorder="1"/>
    <xf numFmtId="0" fontId="0" fillId="0" borderId="44" xfId="0" applyBorder="1"/>
    <xf numFmtId="3" fontId="0" fillId="0" borderId="34" xfId="0" applyNumberFormat="1" applyFont="1" applyFill="1" applyBorder="1" applyAlignment="1">
      <alignment/>
    </xf>
    <xf numFmtId="168" fontId="3" fillId="8" borderId="34" xfId="0" applyNumberFormat="1" applyFont="1" applyFill="1" applyBorder="1" applyAlignment="1">
      <alignment horizontal="right" vertical="center"/>
    </xf>
    <xf numFmtId="165" fontId="3" fillId="8" borderId="34" xfId="0" applyNumberFormat="1" applyFont="1" applyFill="1" applyBorder="1" applyAlignment="1">
      <alignment horizontal="right" vertical="center"/>
    </xf>
    <xf numFmtId="1" fontId="3" fillId="8" borderId="34" xfId="0" applyNumberFormat="1" applyFont="1" applyFill="1" applyBorder="1" applyAlignment="1">
      <alignment horizontal="right" vertical="center"/>
    </xf>
    <xf numFmtId="9" fontId="3" fillId="8" borderId="39" xfId="0" applyNumberFormat="1" applyFont="1" applyFill="1" applyBorder="1" applyAlignment="1">
      <alignment vertical="center"/>
    </xf>
    <xf numFmtId="165" fontId="0" fillId="8" borderId="34" xfId="0" applyNumberFormat="1" applyFont="1" applyFill="1" applyBorder="1" applyAlignment="1">
      <alignment horizontal="right" vertical="center"/>
    </xf>
    <xf numFmtId="165" fontId="3" fillId="8" borderId="39" xfId="0" applyNumberFormat="1" applyFont="1" applyFill="1" applyBorder="1" applyAlignment="1">
      <alignment horizontal="right" vertical="center"/>
    </xf>
    <xf numFmtId="168" fontId="0" fillId="0" borderId="45" xfId="0" applyNumberFormat="1" applyBorder="1" applyAlignment="1">
      <alignment horizontal="right" vertical="top"/>
    </xf>
    <xf numFmtId="3" fontId="0" fillId="0" borderId="46" xfId="0" applyNumberFormat="1" applyFill="1" applyBorder="1" applyAlignment="1">
      <alignment vertical="top" wrapText="1"/>
    </xf>
    <xf numFmtId="3" fontId="0" fillId="0" borderId="35" xfId="0" applyNumberFormat="1" applyBorder="1" applyAlignment="1">
      <alignment vertical="top"/>
    </xf>
    <xf numFmtId="0" fontId="0" fillId="5" borderId="47" xfId="0" applyFont="1" applyFill="1" applyBorder="1" applyAlignment="1">
      <alignment horizontal="center"/>
    </xf>
    <xf numFmtId="0" fontId="0" fillId="7" borderId="21" xfId="20" applyFont="1" applyFill="1" applyBorder="1" applyAlignment="1" applyProtection="1">
      <alignment horizontal="left"/>
      <protection/>
    </xf>
    <xf numFmtId="0" fontId="6" fillId="0" borderId="28" xfId="20" applyFont="1" applyFill="1" applyBorder="1" applyAlignment="1" applyProtection="1">
      <alignment horizontal="left"/>
      <protection/>
    </xf>
    <xf numFmtId="0" fontId="6" fillId="0" borderId="25" xfId="20" applyFont="1" applyFill="1" applyBorder="1" applyAlignment="1" applyProtection="1">
      <alignment horizontal="center"/>
      <protection/>
    </xf>
    <xf numFmtId="0" fontId="0" fillId="7" borderId="28" xfId="20" applyFont="1" applyFill="1" applyBorder="1" applyAlignment="1" applyProtection="1">
      <alignment horizontal="left"/>
      <protection/>
    </xf>
    <xf numFmtId="0" fontId="0" fillId="7" borderId="15" xfId="20" applyFont="1" applyFill="1" applyBorder="1" applyAlignment="1" applyProtection="1">
      <alignment horizontal="left"/>
      <protection/>
    </xf>
    <xf numFmtId="49" fontId="9" fillId="0" borderId="25" xfId="20" applyNumberFormat="1" applyFont="1" applyFill="1" applyBorder="1" applyAlignment="1" applyProtection="1">
      <alignment horizontal="center"/>
      <protection locked="0"/>
    </xf>
    <xf numFmtId="49" fontId="0" fillId="7" borderId="25" xfId="20" applyNumberFormat="1" applyFont="1" applyFill="1" applyBorder="1" applyAlignment="1" applyProtection="1">
      <alignment horizontal="left"/>
      <protection/>
    </xf>
    <xf numFmtId="49" fontId="9" fillId="7" borderId="25" xfId="20" applyNumberFormat="1" applyFont="1" applyFill="1" applyBorder="1" applyAlignment="1" applyProtection="1">
      <alignment horizontal="left"/>
      <protection locked="0"/>
    </xf>
    <xf numFmtId="49" fontId="9" fillId="0" borderId="26" xfId="20" applyNumberFormat="1" applyFont="1" applyFill="1" applyBorder="1" applyAlignment="1" applyProtection="1">
      <alignment horizontal="center"/>
      <protection locked="0"/>
    </xf>
    <xf numFmtId="49" fontId="9" fillId="0" borderId="27" xfId="20" applyNumberFormat="1" applyFont="1" applyFill="1" applyBorder="1" applyAlignment="1" applyProtection="1">
      <alignment horizontal="center"/>
      <protection locked="0"/>
    </xf>
    <xf numFmtId="0" fontId="0" fillId="0" borderId="21" xfId="20" applyFont="1" applyFill="1" applyBorder="1" applyAlignment="1" applyProtection="1">
      <alignment horizontal="center"/>
      <protection/>
    </xf>
    <xf numFmtId="0" fontId="0" fillId="0" borderId="19" xfId="20" applyFont="1" applyFill="1" applyBorder="1" applyAlignment="1" applyProtection="1">
      <alignment horizontal="center"/>
      <protection/>
    </xf>
    <xf numFmtId="0" fontId="0" fillId="0" borderId="25" xfId="20" applyFont="1" applyFill="1" applyBorder="1" applyAlignment="1" applyProtection="1">
      <alignment horizontal="left"/>
      <protection/>
    </xf>
    <xf numFmtId="49" fontId="0" fillId="0" borderId="25" xfId="20" applyNumberFormat="1" applyFont="1" applyFill="1" applyBorder="1" applyAlignment="1" applyProtection="1">
      <alignment horizontal="left"/>
      <protection/>
    </xf>
    <xf numFmtId="0" fontId="0" fillId="0" borderId="25" xfId="20" applyFont="1" applyBorder="1" applyAlignment="1" applyProtection="1">
      <alignment horizontal="center"/>
      <protection/>
    </xf>
    <xf numFmtId="1" fontId="12" fillId="0" borderId="0" xfId="20" applyNumberFormat="1" applyFont="1" applyFill="1" applyBorder="1" applyAlignment="1" applyProtection="1">
      <alignment horizontal="center"/>
      <protection/>
    </xf>
    <xf numFmtId="0" fontId="15" fillId="6" borderId="23" xfId="20" applyFont="1" applyFill="1" applyBorder="1" applyAlignment="1" applyProtection="1">
      <alignment horizontal="center" wrapText="1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kalkul~1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Followed Hyperlink" xfId="60"/>
    <cellStyle name="Hyperlink" xfId="61"/>
    <cellStyle name="Followed Hyperlink" xfId="62"/>
    <cellStyle name="Hyperlink" xfId="63"/>
    <cellStyle name="Followed Hyperlink" xfId="64"/>
    <cellStyle name="Hyperlink" xfId="65"/>
    <cellStyle name="Followed Hyperlink" xfId="66"/>
    <cellStyle name="Hyperlink" xfId="67"/>
    <cellStyle name="Followed Hyperlink" xfId="68"/>
    <cellStyle name="Hyperlink" xfId="69"/>
    <cellStyle name="Followed Hyperlink" xfId="70"/>
    <cellStyle name="Hyperlink" xfId="71"/>
    <cellStyle name="Followed Hyperlink" xfId="72"/>
    <cellStyle name="Hyperlink" xfId="73"/>
    <cellStyle name="Followed Hyperlink" xfId="74"/>
    <cellStyle name="Hyperlink" xfId="75"/>
    <cellStyle name="Followed Hyperlink" xfId="76"/>
    <cellStyle name="Hyperlink" xfId="77"/>
    <cellStyle name="Followed Hyperlink" xfId="78"/>
    <cellStyle name="Hyperlink" xfId="79"/>
    <cellStyle name="Followed Hyperlink" xfId="80"/>
    <cellStyle name="Hyperlink" xfId="81"/>
    <cellStyle name="Followed Hyperlink" xfId="82"/>
    <cellStyle name="Hyperlink" xfId="83"/>
    <cellStyle name="Followed Hyperlink" xfId="84"/>
    <cellStyle name="Hyperlink" xfId="85"/>
    <cellStyle name="Followed 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400050</xdr:colOff>
      <xdr:row>0</xdr:row>
      <xdr:rowOff>438150</xdr:rowOff>
    </xdr:to>
    <xdr:pic>
      <xdr:nvPicPr>
        <xdr:cNvPr id="317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575"/>
          <a:ext cx="1838325" cy="409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96"/>
  <sheetViews>
    <sheetView tabSelected="1" zoomScaleSheetLayoutView="75" workbookViewId="0" topLeftCell="A1">
      <selection activeCell="A13" sqref="A13"/>
    </sheetView>
  </sheetViews>
  <sheetFormatPr defaultColWidth="8.75390625" defaultRowHeight="12.75"/>
  <cols>
    <col min="1" max="1" width="62.375" style="1" customWidth="1"/>
    <col min="2" max="2" width="16.625" style="221" customWidth="1"/>
    <col min="3" max="3" width="7.625" style="2" customWidth="1"/>
    <col min="4" max="4" width="16.375" style="1" customWidth="1"/>
    <col min="5" max="5" width="17.625" style="1" customWidth="1"/>
    <col min="6" max="6" width="15.375" style="1" customWidth="1"/>
    <col min="7" max="16384" width="8.75390625" style="1" customWidth="1"/>
  </cols>
  <sheetData>
    <row r="1" spans="1:6" ht="28.5" customHeight="1" thickBot="1">
      <c r="A1" s="237"/>
      <c r="B1" s="238"/>
      <c r="C1" s="239"/>
      <c r="D1" s="237"/>
      <c r="E1" s="237"/>
      <c r="F1" s="237"/>
    </row>
    <row r="2" spans="1:6" ht="15" customHeight="1">
      <c r="A2" s="240" t="s">
        <v>245</v>
      </c>
      <c r="B2" s="241"/>
      <c r="C2" s="244"/>
      <c r="D2" s="243"/>
      <c r="E2" s="242"/>
      <c r="F2" s="245"/>
    </row>
    <row r="3" spans="1:6" ht="12.75" customHeight="1" hidden="1">
      <c r="A3" s="235" t="s">
        <v>187</v>
      </c>
      <c r="B3" s="246"/>
      <c r="C3" s="249"/>
      <c r="D3" s="248"/>
      <c r="E3" s="247"/>
      <c r="F3" s="250"/>
    </row>
    <row r="4" spans="1:6" s="6" customFormat="1" ht="19" customHeight="1">
      <c r="A4" s="301" t="s">
        <v>223</v>
      </c>
      <c r="B4" s="252"/>
      <c r="C4" s="249"/>
      <c r="D4" s="248"/>
      <c r="E4" s="247"/>
      <c r="F4" s="250"/>
    </row>
    <row r="5" spans="1:6" ht="26">
      <c r="A5" s="236" t="s">
        <v>186</v>
      </c>
      <c r="B5" s="225" t="s">
        <v>0</v>
      </c>
      <c r="C5" s="227" t="s">
        <v>179</v>
      </c>
      <c r="D5" s="226" t="s">
        <v>180</v>
      </c>
      <c r="E5" s="230" t="s">
        <v>2</v>
      </c>
      <c r="F5" s="253" t="s">
        <v>183</v>
      </c>
    </row>
    <row r="6" spans="1:6" ht="16">
      <c r="A6" s="254" t="s">
        <v>184</v>
      </c>
      <c r="B6" s="255"/>
      <c r="C6" s="256"/>
      <c r="D6" s="257"/>
      <c r="E6" s="258"/>
      <c r="F6" s="259"/>
    </row>
    <row r="7" spans="1:6" ht="13.5" customHeight="1">
      <c r="A7" s="318" t="s">
        <v>207</v>
      </c>
      <c r="B7" s="231"/>
      <c r="C7" s="288">
        <v>1</v>
      </c>
      <c r="D7" s="287">
        <f aca="true" t="shared" si="0" ref="D7:D19">B7*C7</f>
        <v>0</v>
      </c>
      <c r="E7" s="287">
        <f aca="true" t="shared" si="1" ref="E7:E19">D7*1.21</f>
        <v>0</v>
      </c>
      <c r="F7" s="285">
        <v>0.21</v>
      </c>
    </row>
    <row r="8" spans="1:6" ht="13.5" customHeight="1">
      <c r="A8" s="280" t="s">
        <v>234</v>
      </c>
      <c r="B8" s="231"/>
      <c r="C8" s="310">
        <v>1</v>
      </c>
      <c r="D8" s="287">
        <f t="shared" si="0"/>
        <v>0</v>
      </c>
      <c r="E8" s="287">
        <f t="shared" si="1"/>
        <v>0</v>
      </c>
      <c r="F8" s="285">
        <v>0.21</v>
      </c>
    </row>
    <row r="9" spans="1:6" ht="13.5" customHeight="1">
      <c r="A9" s="280" t="s">
        <v>208</v>
      </c>
      <c r="B9" s="231"/>
      <c r="C9" s="288">
        <v>1</v>
      </c>
      <c r="D9" s="287">
        <f t="shared" si="0"/>
        <v>0</v>
      </c>
      <c r="E9" s="287">
        <f t="shared" si="1"/>
        <v>0</v>
      </c>
      <c r="F9" s="285">
        <v>0.21</v>
      </c>
    </row>
    <row r="10" spans="1:6" ht="13.5" customHeight="1">
      <c r="A10" s="289" t="s">
        <v>190</v>
      </c>
      <c r="B10" s="231"/>
      <c r="C10" s="288">
        <v>1</v>
      </c>
      <c r="D10" s="287">
        <f t="shared" si="0"/>
        <v>0</v>
      </c>
      <c r="E10" s="287">
        <f t="shared" si="1"/>
        <v>0</v>
      </c>
      <c r="F10" s="285">
        <v>0.21</v>
      </c>
    </row>
    <row r="11" spans="1:6" ht="13.5" customHeight="1">
      <c r="A11" s="289" t="s">
        <v>235</v>
      </c>
      <c r="B11" s="231"/>
      <c r="C11" s="288">
        <v>1</v>
      </c>
      <c r="D11" s="287">
        <f t="shared" si="0"/>
        <v>0</v>
      </c>
      <c r="E11" s="287">
        <f t="shared" si="1"/>
        <v>0</v>
      </c>
      <c r="F11" s="285">
        <v>0.21</v>
      </c>
    </row>
    <row r="12" spans="1:6" ht="13.5" customHeight="1">
      <c r="A12" s="280" t="s">
        <v>211</v>
      </c>
      <c r="B12" s="281"/>
      <c r="C12" s="282">
        <v>1</v>
      </c>
      <c r="D12" s="283">
        <f t="shared" si="0"/>
        <v>0</v>
      </c>
      <c r="E12" s="284">
        <f t="shared" si="1"/>
        <v>0</v>
      </c>
      <c r="F12" s="285">
        <v>0.21</v>
      </c>
    </row>
    <row r="13" spans="1:6" ht="12.75">
      <c r="A13" s="289" t="s">
        <v>178</v>
      </c>
      <c r="B13" s="281"/>
      <c r="C13" s="282">
        <v>5</v>
      </c>
      <c r="D13" s="283">
        <f t="shared" si="0"/>
        <v>0</v>
      </c>
      <c r="E13" s="284">
        <f t="shared" si="1"/>
        <v>0</v>
      </c>
      <c r="F13" s="285">
        <v>0.21</v>
      </c>
    </row>
    <row r="14" spans="1:6" s="222" customFormat="1" ht="14" customHeight="1">
      <c r="A14" s="280" t="s">
        <v>217</v>
      </c>
      <c r="B14" s="281"/>
      <c r="C14" s="282">
        <v>1</v>
      </c>
      <c r="D14" s="283">
        <f t="shared" si="0"/>
        <v>0</v>
      </c>
      <c r="E14" s="284">
        <f t="shared" si="1"/>
        <v>0</v>
      </c>
      <c r="F14" s="285">
        <v>0.21</v>
      </c>
    </row>
    <row r="15" spans="1:6" s="222" customFormat="1" ht="15" customHeight="1">
      <c r="A15" s="280" t="s">
        <v>181</v>
      </c>
      <c r="B15" s="281"/>
      <c r="C15" s="282">
        <v>1</v>
      </c>
      <c r="D15" s="283">
        <f t="shared" si="0"/>
        <v>0</v>
      </c>
      <c r="E15" s="284">
        <f t="shared" si="1"/>
        <v>0</v>
      </c>
      <c r="F15" s="285">
        <v>0.21</v>
      </c>
    </row>
    <row r="16" spans="1:6" s="222" customFormat="1" ht="15" customHeight="1">
      <c r="A16" s="280" t="s">
        <v>222</v>
      </c>
      <c r="B16" s="281"/>
      <c r="C16" s="282">
        <v>1</v>
      </c>
      <c r="D16" s="283">
        <f t="shared" si="0"/>
        <v>0</v>
      </c>
      <c r="E16" s="284">
        <f t="shared" si="1"/>
        <v>0</v>
      </c>
      <c r="F16" s="285">
        <v>0.21</v>
      </c>
    </row>
    <row r="17" spans="1:6" s="222" customFormat="1" ht="15" customHeight="1">
      <c r="A17" s="280" t="s">
        <v>195</v>
      </c>
      <c r="B17" s="281"/>
      <c r="C17" s="282">
        <v>1</v>
      </c>
      <c r="D17" s="283">
        <f t="shared" si="0"/>
        <v>0</v>
      </c>
      <c r="E17" s="284">
        <f t="shared" si="1"/>
        <v>0</v>
      </c>
      <c r="F17" s="285">
        <v>0.21</v>
      </c>
    </row>
    <row r="18" spans="1:6" s="222" customFormat="1" ht="15" customHeight="1">
      <c r="A18" s="280" t="s">
        <v>219</v>
      </c>
      <c r="B18" s="281"/>
      <c r="C18" s="282">
        <v>1</v>
      </c>
      <c r="D18" s="283">
        <f t="shared" si="0"/>
        <v>0</v>
      </c>
      <c r="E18" s="284">
        <f t="shared" si="1"/>
        <v>0</v>
      </c>
      <c r="F18" s="285">
        <v>0.21</v>
      </c>
    </row>
    <row r="19" spans="1:6" s="222" customFormat="1" ht="15" customHeight="1">
      <c r="A19" s="280" t="s">
        <v>196</v>
      </c>
      <c r="B19" s="281"/>
      <c r="C19" s="282">
        <v>1</v>
      </c>
      <c r="D19" s="283">
        <f t="shared" si="0"/>
        <v>0</v>
      </c>
      <c r="E19" s="284">
        <f t="shared" si="1"/>
        <v>0</v>
      </c>
      <c r="F19" s="285">
        <v>0.21</v>
      </c>
    </row>
    <row r="20" spans="1:6" s="222" customFormat="1" ht="15" customHeight="1">
      <c r="A20" s="267" t="s">
        <v>185</v>
      </c>
      <c r="B20" s="268"/>
      <c r="C20" s="270"/>
      <c r="D20" s="269"/>
      <c r="E20" s="269"/>
      <c r="F20" s="272"/>
    </row>
    <row r="21" spans="1:6" s="222" customFormat="1" ht="15" customHeight="1">
      <c r="A21" s="280" t="s">
        <v>212</v>
      </c>
      <c r="B21" s="281"/>
      <c r="C21" s="282">
        <v>1</v>
      </c>
      <c r="D21" s="283">
        <f>B21*C21</f>
        <v>0</v>
      </c>
      <c r="E21" s="284">
        <f>D21*1.21</f>
        <v>0</v>
      </c>
      <c r="F21" s="285">
        <v>0.21</v>
      </c>
    </row>
    <row r="22" spans="1:6" s="222" customFormat="1" ht="15" customHeight="1">
      <c r="A22" s="280" t="s">
        <v>213</v>
      </c>
      <c r="B22" s="281"/>
      <c r="C22" s="282">
        <v>4</v>
      </c>
      <c r="D22" s="283">
        <f>B22*C22</f>
        <v>0</v>
      </c>
      <c r="E22" s="284">
        <f>D22*1.21</f>
        <v>0</v>
      </c>
      <c r="F22" s="285">
        <v>0.21</v>
      </c>
    </row>
    <row r="23" spans="1:6" s="222" customFormat="1" ht="15" customHeight="1">
      <c r="A23" s="280" t="s">
        <v>214</v>
      </c>
      <c r="B23" s="281"/>
      <c r="C23" s="282">
        <v>1</v>
      </c>
      <c r="D23" s="283">
        <f>B23*C23</f>
        <v>0</v>
      </c>
      <c r="E23" s="284">
        <f>D23*1.21</f>
        <v>0</v>
      </c>
      <c r="F23" s="285">
        <v>0.21</v>
      </c>
    </row>
    <row r="24" spans="1:6" s="222" customFormat="1" ht="15" customHeight="1">
      <c r="A24" s="280" t="s">
        <v>215</v>
      </c>
      <c r="B24" s="281"/>
      <c r="C24" s="282">
        <v>1</v>
      </c>
      <c r="D24" s="283">
        <f>B24*C24</f>
        <v>0</v>
      </c>
      <c r="E24" s="284">
        <f>D24*1.21</f>
        <v>0</v>
      </c>
      <c r="F24" s="285">
        <v>0.21</v>
      </c>
    </row>
    <row r="25" spans="1:6" s="222" customFormat="1" ht="15" customHeight="1">
      <c r="A25" s="254" t="s">
        <v>192</v>
      </c>
      <c r="B25" s="255"/>
      <c r="C25" s="256"/>
      <c r="D25" s="307">
        <f>SUM(D7:D24)</f>
        <v>0</v>
      </c>
      <c r="E25" s="296">
        <f>D25*1.21</f>
        <v>0</v>
      </c>
      <c r="F25" s="297">
        <f>E25-D25</f>
        <v>0</v>
      </c>
    </row>
    <row r="26" spans="1:6" s="222" customFormat="1" ht="15" customHeight="1">
      <c r="A26" s="290"/>
      <c r="B26" s="291"/>
      <c r="C26" s="292"/>
      <c r="D26" s="248"/>
      <c r="E26" s="293"/>
      <c r="F26" s="294"/>
    </row>
    <row r="27" spans="1:6" s="222" customFormat="1" ht="15" customHeight="1">
      <c r="A27" s="254" t="s">
        <v>193</v>
      </c>
      <c r="B27" s="255"/>
      <c r="C27" s="256"/>
      <c r="D27" s="257"/>
      <c r="E27" s="258"/>
      <c r="F27" s="259"/>
    </row>
    <row r="28" spans="1:6" s="222" customFormat="1" ht="15" customHeight="1">
      <c r="A28" s="280" t="s">
        <v>191</v>
      </c>
      <c r="B28" s="281"/>
      <c r="C28" s="282">
        <v>1</v>
      </c>
      <c r="D28" s="283">
        <f>B28*C28</f>
        <v>0</v>
      </c>
      <c r="E28" s="284">
        <f>D28*1.21</f>
        <v>0</v>
      </c>
      <c r="F28" s="285">
        <v>0.21</v>
      </c>
    </row>
    <row r="29" spans="1:6" s="222" customFormat="1" ht="15" customHeight="1">
      <c r="A29" s="254" t="s">
        <v>194</v>
      </c>
      <c r="B29" s="255"/>
      <c r="C29" s="256"/>
      <c r="D29" s="307">
        <f>D28</f>
        <v>0</v>
      </c>
      <c r="E29" s="258">
        <f>D29*1.21</f>
        <v>0</v>
      </c>
      <c r="F29" s="259">
        <f>E29-D29</f>
        <v>0</v>
      </c>
    </row>
    <row r="30" spans="1:6" s="222" customFormat="1" ht="15" customHeight="1">
      <c r="A30" s="280"/>
      <c r="B30" s="281"/>
      <c r="C30" s="282"/>
      <c r="D30" s="283"/>
      <c r="E30" s="284"/>
      <c r="F30" s="285"/>
    </row>
    <row r="31" spans="1:6" s="222" customFormat="1" ht="15" customHeight="1">
      <c r="A31" s="295" t="s">
        <v>224</v>
      </c>
      <c r="B31" s="311"/>
      <c r="C31" s="313"/>
      <c r="D31" s="312"/>
      <c r="E31" s="312"/>
      <c r="F31" s="314"/>
    </row>
    <row r="32" spans="1:6" s="222" customFormat="1" ht="15" customHeight="1">
      <c r="A32" s="261" t="s">
        <v>225</v>
      </c>
      <c r="B32" s="281"/>
      <c r="C32" s="263">
        <v>238</v>
      </c>
      <c r="D32" s="264">
        <f aca="true" t="shared" si="2" ref="D32:D37">B32*C32</f>
        <v>0</v>
      </c>
      <c r="E32" s="262">
        <f>D32*1.21</f>
        <v>0</v>
      </c>
      <c r="F32" s="286">
        <v>0.21</v>
      </c>
    </row>
    <row r="33" spans="1:6" s="222" customFormat="1" ht="15" customHeight="1">
      <c r="A33" s="266" t="s">
        <v>226</v>
      </c>
      <c r="B33" s="281"/>
      <c r="C33" s="263">
        <v>630</v>
      </c>
      <c r="D33" s="264">
        <f t="shared" si="2"/>
        <v>0</v>
      </c>
      <c r="E33" s="262">
        <f>D33*1.21</f>
        <v>0</v>
      </c>
      <c r="F33" s="286">
        <v>0.21</v>
      </c>
    </row>
    <row r="34" spans="1:6" s="222" customFormat="1" ht="15" customHeight="1">
      <c r="A34" s="261" t="s">
        <v>236</v>
      </c>
      <c r="B34" s="281"/>
      <c r="C34" s="263">
        <v>238</v>
      </c>
      <c r="D34" s="264">
        <f t="shared" si="2"/>
        <v>0</v>
      </c>
      <c r="E34" s="265">
        <f>D34*1.21</f>
        <v>0</v>
      </c>
      <c r="F34" s="260">
        <v>0.21</v>
      </c>
    </row>
    <row r="35" spans="1:6" s="222" customFormat="1" ht="15" customHeight="1">
      <c r="A35" s="261" t="s">
        <v>227</v>
      </c>
      <c r="B35" s="281"/>
      <c r="C35" s="263">
        <v>238</v>
      </c>
      <c r="D35" s="264">
        <f t="shared" si="2"/>
        <v>0</v>
      </c>
      <c r="E35" s="265">
        <f aca="true" t="shared" si="3" ref="E35:E37">D35*1.21</f>
        <v>0</v>
      </c>
      <c r="F35" s="260">
        <v>0.21</v>
      </c>
    </row>
    <row r="36" spans="1:6" s="222" customFormat="1" ht="15" customHeight="1">
      <c r="A36" s="261" t="s">
        <v>228</v>
      </c>
      <c r="B36" s="281"/>
      <c r="C36" s="263">
        <v>238</v>
      </c>
      <c r="D36" s="264">
        <f t="shared" si="2"/>
        <v>0</v>
      </c>
      <c r="E36" s="265">
        <f t="shared" si="3"/>
        <v>0</v>
      </c>
      <c r="F36" s="260">
        <v>0.21</v>
      </c>
    </row>
    <row r="37" spans="1:6" s="222" customFormat="1" ht="15" customHeight="1">
      <c r="A37" s="261" t="s">
        <v>229</v>
      </c>
      <c r="B37" s="281"/>
      <c r="C37" s="263">
        <v>238</v>
      </c>
      <c r="D37" s="264">
        <f t="shared" si="2"/>
        <v>0</v>
      </c>
      <c r="E37" s="265">
        <f t="shared" si="3"/>
        <v>0</v>
      </c>
      <c r="F37" s="260">
        <v>0.21</v>
      </c>
    </row>
    <row r="38" spans="1:6" s="222" customFormat="1" ht="15" customHeight="1">
      <c r="A38" s="295" t="s">
        <v>230</v>
      </c>
      <c r="B38" s="311"/>
      <c r="C38" s="313"/>
      <c r="D38" s="315">
        <f>SUM(D32:D37)</f>
        <v>0</v>
      </c>
      <c r="E38" s="312">
        <f>D38*1.21</f>
        <v>0</v>
      </c>
      <c r="F38" s="316">
        <f>E38-D38</f>
        <v>0</v>
      </c>
    </row>
    <row r="39" spans="1:6" s="223" customFormat="1" ht="12.75">
      <c r="A39" s="308"/>
      <c r="B39" s="5"/>
      <c r="C39" s="5"/>
      <c r="D39" s="5"/>
      <c r="E39" s="5"/>
      <c r="F39" s="309"/>
    </row>
    <row r="40" spans="1:6" s="223" customFormat="1" ht="16">
      <c r="A40" s="254" t="s">
        <v>203</v>
      </c>
      <c r="B40" s="255"/>
      <c r="C40" s="256"/>
      <c r="D40" s="257"/>
      <c r="E40" s="258"/>
      <c r="F40" s="259"/>
    </row>
    <row r="41" spans="1:6" s="223" customFormat="1" ht="12.75">
      <c r="A41" s="280" t="s">
        <v>203</v>
      </c>
      <c r="B41" s="281"/>
      <c r="C41" s="282">
        <v>2</v>
      </c>
      <c r="D41" s="283">
        <f>B41*C41</f>
        <v>0</v>
      </c>
      <c r="E41" s="284">
        <f>D41*1.21</f>
        <v>0</v>
      </c>
      <c r="F41" s="285">
        <v>0.21</v>
      </c>
    </row>
    <row r="42" spans="1:6" s="223" customFormat="1" ht="12.75">
      <c r="A42" s="289" t="s">
        <v>190</v>
      </c>
      <c r="B42" s="231"/>
      <c r="C42" s="288">
        <v>2</v>
      </c>
      <c r="D42" s="287">
        <f>B42*C42</f>
        <v>0</v>
      </c>
      <c r="E42" s="287">
        <f aca="true" t="shared" si="4" ref="E42">D42*1.21</f>
        <v>0</v>
      </c>
      <c r="F42" s="285">
        <v>0.21</v>
      </c>
    </row>
    <row r="43" spans="1:6" s="223" customFormat="1" ht="12.75">
      <c r="A43" s="280" t="s">
        <v>206</v>
      </c>
      <c r="B43" s="281"/>
      <c r="C43" s="282">
        <v>2</v>
      </c>
      <c r="D43" s="283">
        <f>B43*C43</f>
        <v>0</v>
      </c>
      <c r="E43" s="284">
        <f aca="true" t="shared" si="5" ref="E43:E45">D43*1.21</f>
        <v>0</v>
      </c>
      <c r="F43" s="285">
        <v>0.21</v>
      </c>
    </row>
    <row r="44" spans="1:6" s="223" customFormat="1" ht="12.75">
      <c r="A44" s="280" t="s">
        <v>204</v>
      </c>
      <c r="B44" s="281"/>
      <c r="C44" s="282">
        <v>2</v>
      </c>
      <c r="D44" s="283">
        <f>B44*C44</f>
        <v>0</v>
      </c>
      <c r="E44" s="284">
        <f t="shared" si="5"/>
        <v>0</v>
      </c>
      <c r="F44" s="285">
        <v>0.21</v>
      </c>
    </row>
    <row r="45" spans="1:6" s="223" customFormat="1" ht="12.75">
      <c r="A45" s="280" t="s">
        <v>220</v>
      </c>
      <c r="B45" s="281"/>
      <c r="C45" s="282">
        <v>2</v>
      </c>
      <c r="D45" s="283">
        <f>B45*C45</f>
        <v>0</v>
      </c>
      <c r="E45" s="284">
        <f t="shared" si="5"/>
        <v>0</v>
      </c>
      <c r="F45" s="285">
        <v>0.21</v>
      </c>
    </row>
    <row r="46" spans="1:6" s="223" customFormat="1" ht="16">
      <c r="A46" s="254" t="s">
        <v>205</v>
      </c>
      <c r="B46" s="255"/>
      <c r="C46" s="256"/>
      <c r="D46" s="258">
        <f>SUM(D41:D45)</f>
        <v>0</v>
      </c>
      <c r="E46" s="258">
        <f>SUM(E41:E45)</f>
        <v>0</v>
      </c>
      <c r="F46" s="259">
        <f>E46-D46</f>
        <v>0</v>
      </c>
    </row>
    <row r="47" spans="1:6" s="223" customFormat="1" ht="16">
      <c r="A47" s="290"/>
      <c r="B47" s="291"/>
      <c r="C47" s="292"/>
      <c r="D47" s="248"/>
      <c r="E47" s="293"/>
      <c r="F47" s="294"/>
    </row>
    <row r="48" spans="1:6" ht="12.75">
      <c r="A48" s="295" t="s">
        <v>197</v>
      </c>
      <c r="B48" s="268"/>
      <c r="C48" s="270"/>
      <c r="D48" s="269"/>
      <c r="E48" s="269"/>
      <c r="F48" s="271"/>
    </row>
    <row r="49" spans="1:6" ht="12.75">
      <c r="A49" s="280" t="s">
        <v>216</v>
      </c>
      <c r="B49" s="281"/>
      <c r="C49" s="282">
        <v>4</v>
      </c>
      <c r="D49" s="264">
        <f aca="true" t="shared" si="6" ref="D49:D54">B49*C49</f>
        <v>0</v>
      </c>
      <c r="E49" s="265">
        <f aca="true" t="shared" si="7" ref="E49:E54">D49*1.21</f>
        <v>0</v>
      </c>
      <c r="F49" s="260">
        <v>0.21</v>
      </c>
    </row>
    <row r="50" spans="1:6" ht="12.75">
      <c r="A50" s="280" t="s">
        <v>188</v>
      </c>
      <c r="B50" s="281"/>
      <c r="C50" s="282">
        <v>4</v>
      </c>
      <c r="D50" s="264">
        <f t="shared" si="6"/>
        <v>0</v>
      </c>
      <c r="E50" s="265">
        <f t="shared" si="7"/>
        <v>0</v>
      </c>
      <c r="F50" s="260">
        <v>0.21</v>
      </c>
    </row>
    <row r="51" spans="1:6" ht="12.75">
      <c r="A51" s="280" t="s">
        <v>221</v>
      </c>
      <c r="B51" s="281"/>
      <c r="C51" s="282">
        <v>4</v>
      </c>
      <c r="D51" s="264">
        <f t="shared" si="6"/>
        <v>0</v>
      </c>
      <c r="E51" s="265">
        <f t="shared" si="7"/>
        <v>0</v>
      </c>
      <c r="F51" s="260">
        <v>0.21</v>
      </c>
    </row>
    <row r="52" spans="1:6" ht="12.75">
      <c r="A52" s="280" t="s">
        <v>233</v>
      </c>
      <c r="B52" s="281"/>
      <c r="C52" s="282">
        <v>4</v>
      </c>
      <c r="D52" s="264">
        <f t="shared" si="6"/>
        <v>0</v>
      </c>
      <c r="E52" s="265">
        <f t="shared" si="7"/>
        <v>0</v>
      </c>
      <c r="F52" s="260">
        <v>0.21</v>
      </c>
    </row>
    <row r="53" spans="1:6" ht="12.75">
      <c r="A53" s="261" t="s">
        <v>218</v>
      </c>
      <c r="B53" s="281"/>
      <c r="C53" s="282">
        <v>4</v>
      </c>
      <c r="D53" s="264">
        <f t="shared" si="6"/>
        <v>0</v>
      </c>
      <c r="E53" s="265">
        <f t="shared" si="7"/>
        <v>0</v>
      </c>
      <c r="F53" s="260">
        <v>0.21</v>
      </c>
    </row>
    <row r="54" spans="1:6" ht="12.75">
      <c r="A54" s="280" t="s">
        <v>231</v>
      </c>
      <c r="B54" s="281"/>
      <c r="C54" s="282">
        <v>4</v>
      </c>
      <c r="D54" s="264">
        <f t="shared" si="6"/>
        <v>0</v>
      </c>
      <c r="E54" s="265">
        <f t="shared" si="7"/>
        <v>0</v>
      </c>
      <c r="F54" s="260">
        <v>0.21</v>
      </c>
    </row>
    <row r="55" spans="1:6" ht="12.75">
      <c r="A55" s="295" t="s">
        <v>198</v>
      </c>
      <c r="B55" s="268"/>
      <c r="C55" s="270"/>
      <c r="D55" s="269">
        <f>SUM(D49:D54)</f>
        <v>0</v>
      </c>
      <c r="E55" s="269">
        <f>SUM(E49:E54)</f>
        <v>0</v>
      </c>
      <c r="F55" s="272">
        <f>E55-D55</f>
        <v>0</v>
      </c>
    </row>
    <row r="56" spans="1:6" ht="12.75">
      <c r="A56" s="298"/>
      <c r="B56" s="299"/>
      <c r="C56" s="299"/>
      <c r="D56" s="299"/>
      <c r="E56" s="299"/>
      <c r="F56" s="300"/>
    </row>
    <row r="57" spans="1:6" ht="12.75">
      <c r="A57" s="295" t="s">
        <v>209</v>
      </c>
      <c r="B57" s="268"/>
      <c r="C57" s="270"/>
      <c r="D57" s="269"/>
      <c r="E57" s="269"/>
      <c r="F57" s="271"/>
    </row>
    <row r="58" spans="1:6" ht="12.75">
      <c r="A58" s="280" t="s">
        <v>189</v>
      </c>
      <c r="B58" s="281"/>
      <c r="C58" s="282">
        <v>4</v>
      </c>
      <c r="D58" s="264">
        <f>B58*C58</f>
        <v>0</v>
      </c>
      <c r="E58" s="265">
        <f aca="true" t="shared" si="8" ref="E58:E59">D58*1.21</f>
        <v>0</v>
      </c>
      <c r="F58" s="260">
        <v>0.21</v>
      </c>
    </row>
    <row r="59" spans="1:6" s="223" customFormat="1" ht="12.75">
      <c r="A59" s="280" t="s">
        <v>199</v>
      </c>
      <c r="B59" s="281"/>
      <c r="C59" s="282">
        <v>4</v>
      </c>
      <c r="D59" s="264">
        <f>B59*C59</f>
        <v>0</v>
      </c>
      <c r="E59" s="265">
        <f t="shared" si="8"/>
        <v>0</v>
      </c>
      <c r="F59" s="260">
        <v>0.21</v>
      </c>
    </row>
    <row r="60" spans="1:6" s="223" customFormat="1" ht="12.75">
      <c r="A60" s="295" t="s">
        <v>210</v>
      </c>
      <c r="B60" s="268"/>
      <c r="C60" s="270"/>
      <c r="D60" s="269">
        <f>SUM(D58:D59)</f>
        <v>0</v>
      </c>
      <c r="E60" s="269">
        <f>SUM(E58:E59)</f>
        <v>0</v>
      </c>
      <c r="F60" s="272">
        <f>E60-D60</f>
        <v>0</v>
      </c>
    </row>
    <row r="61" spans="1:6" s="223" customFormat="1" ht="12.75">
      <c r="A61" s="302"/>
      <c r="B61" s="303"/>
      <c r="C61" s="305"/>
      <c r="D61" s="304"/>
      <c r="E61" s="304"/>
      <c r="F61" s="306"/>
    </row>
    <row r="62" spans="1:6" s="223" customFormat="1" ht="12.75">
      <c r="A62" s="295" t="s">
        <v>237</v>
      </c>
      <c r="B62" s="311"/>
      <c r="C62" s="313"/>
      <c r="D62" s="312"/>
      <c r="E62" s="312"/>
      <c r="F62" s="314"/>
    </row>
    <row r="63" spans="1:6" s="223" customFormat="1" ht="12.75">
      <c r="A63" s="280" t="s">
        <v>238</v>
      </c>
      <c r="B63" s="281"/>
      <c r="C63" s="282">
        <v>3</v>
      </c>
      <c r="D63" s="264">
        <f aca="true" t="shared" si="9" ref="D63:D68">B63*C63</f>
        <v>0</v>
      </c>
      <c r="E63" s="265">
        <f aca="true" t="shared" si="10" ref="E63:E68">D63*1.21</f>
        <v>0</v>
      </c>
      <c r="F63" s="260">
        <v>0.21</v>
      </c>
    </row>
    <row r="64" spans="1:6" s="223" customFormat="1" ht="12.75">
      <c r="A64" s="280" t="s">
        <v>239</v>
      </c>
      <c r="B64" s="281"/>
      <c r="C64" s="282">
        <v>3</v>
      </c>
      <c r="D64" s="264">
        <f t="shared" si="9"/>
        <v>0</v>
      </c>
      <c r="E64" s="265">
        <f t="shared" si="10"/>
        <v>0</v>
      </c>
      <c r="F64" s="260">
        <v>0.21</v>
      </c>
    </row>
    <row r="65" spans="1:6" s="223" customFormat="1" ht="12.75">
      <c r="A65" s="280" t="s">
        <v>240</v>
      </c>
      <c r="B65" s="281"/>
      <c r="C65" s="282">
        <v>3</v>
      </c>
      <c r="D65" s="264">
        <f t="shared" si="9"/>
        <v>0</v>
      </c>
      <c r="E65" s="265">
        <f t="shared" si="10"/>
        <v>0</v>
      </c>
      <c r="F65" s="260">
        <v>0.21</v>
      </c>
    </row>
    <row r="66" spans="1:6" s="223" customFormat="1" ht="12.75">
      <c r="A66" s="280" t="s">
        <v>241</v>
      </c>
      <c r="B66" s="281"/>
      <c r="C66" s="282">
        <v>3</v>
      </c>
      <c r="D66" s="264">
        <f t="shared" si="9"/>
        <v>0</v>
      </c>
      <c r="E66" s="265">
        <f t="shared" si="10"/>
        <v>0</v>
      </c>
      <c r="F66" s="260">
        <v>0.21</v>
      </c>
    </row>
    <row r="67" spans="1:6" s="223" customFormat="1" ht="12.75">
      <c r="A67" s="261" t="s">
        <v>242</v>
      </c>
      <c r="B67" s="281"/>
      <c r="C67" s="282">
        <v>3</v>
      </c>
      <c r="D67" s="264">
        <f t="shared" si="9"/>
        <v>0</v>
      </c>
      <c r="E67" s="265">
        <f t="shared" si="10"/>
        <v>0</v>
      </c>
      <c r="F67" s="260">
        <v>0.21</v>
      </c>
    </row>
    <row r="68" spans="1:6" s="223" customFormat="1" ht="12.75">
      <c r="A68" s="280" t="s">
        <v>243</v>
      </c>
      <c r="B68" s="281"/>
      <c r="C68" s="282">
        <v>3</v>
      </c>
      <c r="D68" s="264">
        <f t="shared" si="9"/>
        <v>0</v>
      </c>
      <c r="E68" s="265">
        <f t="shared" si="10"/>
        <v>0</v>
      </c>
      <c r="F68" s="260">
        <v>0.21</v>
      </c>
    </row>
    <row r="69" spans="1:6" s="223" customFormat="1" ht="12.75">
      <c r="A69" s="295" t="s">
        <v>244</v>
      </c>
      <c r="B69" s="311"/>
      <c r="C69" s="313"/>
      <c r="D69" s="312">
        <f>SUM(D63:D68)</f>
        <v>0</v>
      </c>
      <c r="E69" s="312">
        <f>SUM(E63:E68)</f>
        <v>0</v>
      </c>
      <c r="F69" s="316">
        <f>E69-D69</f>
        <v>0</v>
      </c>
    </row>
    <row r="70" spans="1:6" s="223" customFormat="1" ht="12.75">
      <c r="A70" s="302"/>
      <c r="B70" s="303"/>
      <c r="C70" s="305"/>
      <c r="D70" s="304"/>
      <c r="E70" s="304"/>
      <c r="F70" s="306"/>
    </row>
    <row r="71" spans="1:6" s="223" customFormat="1" ht="12.75">
      <c r="A71" s="295" t="s">
        <v>200</v>
      </c>
      <c r="B71" s="268"/>
      <c r="C71" s="270"/>
      <c r="D71" s="269"/>
      <c r="E71" s="269"/>
      <c r="F71" s="271"/>
    </row>
    <row r="72" spans="1:6" s="223" customFormat="1" ht="12.75">
      <c r="A72" s="266" t="s">
        <v>201</v>
      </c>
      <c r="B72" s="228"/>
      <c r="C72" s="273">
        <v>1</v>
      </c>
      <c r="D72" s="229">
        <f aca="true" t="shared" si="11" ref="D72:D73">B72*C72</f>
        <v>0</v>
      </c>
      <c r="E72" s="274">
        <f>D72*1.21</f>
        <v>0</v>
      </c>
      <c r="F72" s="260">
        <v>0.21</v>
      </c>
    </row>
    <row r="73" spans="1:6" s="223" customFormat="1" ht="12.75">
      <c r="A73" s="319" t="s">
        <v>232</v>
      </c>
      <c r="B73" s="317"/>
      <c r="C73" s="273">
        <v>1</v>
      </c>
      <c r="D73" s="229">
        <f t="shared" si="11"/>
        <v>0</v>
      </c>
      <c r="E73" s="274">
        <f>D73*1.21</f>
        <v>0</v>
      </c>
      <c r="F73" s="260">
        <v>0.21</v>
      </c>
    </row>
    <row r="74" spans="1:6" s="223" customFormat="1" ht="12.75">
      <c r="A74" s="295" t="s">
        <v>202</v>
      </c>
      <c r="B74" s="268"/>
      <c r="C74" s="270"/>
      <c r="D74" s="269">
        <f>SUM(D72:D73)</f>
        <v>0</v>
      </c>
      <c r="E74" s="269">
        <f>SUM(E72:E73)</f>
        <v>0</v>
      </c>
      <c r="F74" s="272">
        <f>E74-D74</f>
        <v>0</v>
      </c>
    </row>
    <row r="75" spans="1:6" s="223" customFormat="1" ht="12.75">
      <c r="A75" s="251"/>
      <c r="B75" s="247"/>
      <c r="C75" s="247"/>
      <c r="D75" s="247"/>
      <c r="E75" s="247"/>
      <c r="F75" s="250"/>
    </row>
    <row r="76" spans="1:6" s="223" customFormat="1" ht="17" thickBot="1">
      <c r="A76" s="275" t="s">
        <v>182</v>
      </c>
      <c r="B76" s="276"/>
      <c r="C76" s="277"/>
      <c r="D76" s="278">
        <f>D25+D29+D55+D60+D74+D46+D38+D69</f>
        <v>0</v>
      </c>
      <c r="E76" s="278">
        <f>D76*1.21</f>
        <v>0</v>
      </c>
      <c r="F76" s="279">
        <f>E76-D76</f>
        <v>0</v>
      </c>
    </row>
    <row r="77" spans="1:6" s="223" customFormat="1" ht="18">
      <c r="A77" s="3"/>
      <c r="B77" s="232"/>
      <c r="C77" s="233"/>
      <c r="D77" s="234"/>
      <c r="E77" s="3"/>
      <c r="F77" s="3"/>
    </row>
    <row r="78" spans="1:6" s="223" customFormat="1" ht="12.75">
      <c r="A78" s="1"/>
      <c r="B78" s="221"/>
      <c r="C78" s="2"/>
      <c r="D78" s="1"/>
      <c r="E78" s="1"/>
      <c r="F78" s="1"/>
    </row>
    <row r="79" spans="1:6" s="223" customFormat="1" ht="12.75">
      <c r="A79" s="1"/>
      <c r="B79" s="221"/>
      <c r="C79" s="2"/>
      <c r="D79" s="1"/>
      <c r="E79" s="1"/>
      <c r="F79" s="1"/>
    </row>
    <row r="80" spans="1:6" s="223" customFormat="1" ht="12.75">
      <c r="A80" s="1"/>
      <c r="B80" s="221"/>
      <c r="C80" s="2"/>
      <c r="D80" s="1"/>
      <c r="E80" s="1"/>
      <c r="F80" s="1"/>
    </row>
    <row r="81" spans="1:6" s="223" customFormat="1" ht="12.75">
      <c r="A81" s="1"/>
      <c r="B81" s="221"/>
      <c r="C81" s="2"/>
      <c r="D81" s="1"/>
      <c r="E81" s="1"/>
      <c r="F81" s="1"/>
    </row>
    <row r="82" spans="1:6" s="223" customFormat="1" ht="12.75">
      <c r="A82" s="1"/>
      <c r="B82" s="221"/>
      <c r="C82" s="2"/>
      <c r="D82" s="1"/>
      <c r="E82" s="1"/>
      <c r="F82" s="1"/>
    </row>
    <row r="83" spans="1:6" s="223" customFormat="1" ht="12.75">
      <c r="A83" s="1"/>
      <c r="B83" s="221"/>
      <c r="C83" s="2"/>
      <c r="D83" s="1"/>
      <c r="E83" s="1"/>
      <c r="F83" s="1"/>
    </row>
    <row r="84" spans="1:6" s="223" customFormat="1" ht="12.75">
      <c r="A84" s="1"/>
      <c r="B84" s="221"/>
      <c r="C84" s="2"/>
      <c r="D84" s="1"/>
      <c r="E84" s="1"/>
      <c r="F84" s="1"/>
    </row>
    <row r="85" spans="1:6" s="223" customFormat="1" ht="12.75">
      <c r="A85" s="1"/>
      <c r="B85" s="221"/>
      <c r="C85" s="2"/>
      <c r="D85" s="1"/>
      <c r="E85" s="1"/>
      <c r="F85" s="1"/>
    </row>
    <row r="86" spans="1:6" s="223" customFormat="1" ht="12.75">
      <c r="A86" s="1"/>
      <c r="B86" s="221"/>
      <c r="C86" s="2"/>
      <c r="D86" s="1"/>
      <c r="E86" s="1"/>
      <c r="F86" s="1"/>
    </row>
    <row r="87" spans="1:243" s="223" customFormat="1" ht="16">
      <c r="A87" s="1"/>
      <c r="B87" s="221"/>
      <c r="C87" s="2"/>
      <c r="D87" s="1"/>
      <c r="E87" s="1"/>
      <c r="F87" s="1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  <c r="CM87" s="224"/>
      <c r="CN87" s="224"/>
      <c r="CO87" s="224"/>
      <c r="CP87" s="224"/>
      <c r="CQ87" s="224"/>
      <c r="CR87" s="224"/>
      <c r="CS87" s="224"/>
      <c r="CT87" s="224"/>
      <c r="CU87" s="224"/>
      <c r="CV87" s="224"/>
      <c r="CW87" s="224"/>
      <c r="CX87" s="224"/>
      <c r="CY87" s="224"/>
      <c r="CZ87" s="224"/>
      <c r="DA87" s="224"/>
      <c r="DB87" s="224"/>
      <c r="DC87" s="224"/>
      <c r="DD87" s="224"/>
      <c r="DE87" s="224"/>
      <c r="DF87" s="224"/>
      <c r="DG87" s="224"/>
      <c r="DH87" s="224"/>
      <c r="DI87" s="224"/>
      <c r="DJ87" s="224"/>
      <c r="DK87" s="224"/>
      <c r="DL87" s="224"/>
      <c r="DM87" s="224"/>
      <c r="DN87" s="224"/>
      <c r="DO87" s="224"/>
      <c r="DP87" s="224"/>
      <c r="DQ87" s="224"/>
      <c r="DR87" s="224"/>
      <c r="DS87" s="224"/>
      <c r="DT87" s="224"/>
      <c r="DU87" s="224"/>
      <c r="DV87" s="224"/>
      <c r="DW87" s="224"/>
      <c r="DX87" s="224"/>
      <c r="DY87" s="224"/>
      <c r="DZ87" s="224"/>
      <c r="EA87" s="224"/>
      <c r="EB87" s="224"/>
      <c r="EC87" s="224"/>
      <c r="ED87" s="224"/>
      <c r="EE87" s="224"/>
      <c r="EF87" s="224"/>
      <c r="EG87" s="224"/>
      <c r="EH87" s="224"/>
      <c r="EI87" s="224"/>
      <c r="EJ87" s="224"/>
      <c r="EK87" s="224"/>
      <c r="EL87" s="224"/>
      <c r="EM87" s="224"/>
      <c r="EN87" s="224"/>
      <c r="EO87" s="224"/>
      <c r="EP87" s="224"/>
      <c r="EQ87" s="224"/>
      <c r="ER87" s="224"/>
      <c r="ES87" s="224"/>
      <c r="ET87" s="224"/>
      <c r="EU87" s="224"/>
      <c r="EV87" s="224"/>
      <c r="EW87" s="224"/>
      <c r="EX87" s="224"/>
      <c r="EY87" s="224"/>
      <c r="EZ87" s="224"/>
      <c r="FA87" s="224"/>
      <c r="FB87" s="224"/>
      <c r="FC87" s="224"/>
      <c r="FD87" s="224"/>
      <c r="FE87" s="224"/>
      <c r="FF87" s="224"/>
      <c r="FG87" s="224"/>
      <c r="FH87" s="224"/>
      <c r="FI87" s="224"/>
      <c r="FJ87" s="224"/>
      <c r="FK87" s="224"/>
      <c r="FL87" s="224"/>
      <c r="FM87" s="224"/>
      <c r="FN87" s="224"/>
      <c r="FO87" s="224"/>
      <c r="FP87" s="224"/>
      <c r="FQ87" s="224"/>
      <c r="FR87" s="224"/>
      <c r="FS87" s="224"/>
      <c r="FT87" s="224"/>
      <c r="FU87" s="224"/>
      <c r="FV87" s="224"/>
      <c r="FW87" s="224"/>
      <c r="FX87" s="224"/>
      <c r="FY87" s="224"/>
      <c r="FZ87" s="224"/>
      <c r="GA87" s="224"/>
      <c r="GB87" s="224"/>
      <c r="GC87" s="224"/>
      <c r="GD87" s="224"/>
      <c r="GE87" s="224"/>
      <c r="GF87" s="224"/>
      <c r="GG87" s="224"/>
      <c r="GH87" s="224"/>
      <c r="GI87" s="224"/>
      <c r="GJ87" s="224"/>
      <c r="GK87" s="224"/>
      <c r="GL87" s="224"/>
      <c r="GM87" s="224"/>
      <c r="GN87" s="224"/>
      <c r="GO87" s="224"/>
      <c r="GP87" s="224"/>
      <c r="GQ87" s="224"/>
      <c r="GR87" s="224"/>
      <c r="GS87" s="224"/>
      <c r="GT87" s="224"/>
      <c r="GU87" s="224"/>
      <c r="GV87" s="224"/>
      <c r="GW87" s="224"/>
      <c r="GX87" s="224"/>
      <c r="GY87" s="224"/>
      <c r="GZ87" s="224"/>
      <c r="HA87" s="224"/>
      <c r="HB87" s="224"/>
      <c r="HC87" s="224"/>
      <c r="HD87" s="224"/>
      <c r="HE87" s="224"/>
      <c r="HF87" s="224"/>
      <c r="HG87" s="224"/>
      <c r="HH87" s="224"/>
      <c r="HI87" s="224"/>
      <c r="HJ87" s="224"/>
      <c r="HK87" s="224"/>
      <c r="HL87" s="224"/>
      <c r="HM87" s="224"/>
      <c r="HN87" s="224"/>
      <c r="HO87" s="224"/>
      <c r="HP87" s="224"/>
      <c r="HQ87" s="224"/>
      <c r="HR87" s="224"/>
      <c r="HS87" s="224"/>
      <c r="HT87" s="224"/>
      <c r="HU87" s="224"/>
      <c r="HV87" s="224"/>
      <c r="HW87" s="224"/>
      <c r="HX87" s="224"/>
      <c r="HY87" s="224"/>
      <c r="HZ87" s="224"/>
      <c r="IA87" s="224"/>
      <c r="IB87" s="224"/>
      <c r="IC87" s="224"/>
      <c r="ID87" s="224"/>
      <c r="IE87" s="224"/>
      <c r="IF87" s="224"/>
      <c r="IG87" s="224"/>
      <c r="IH87" s="224"/>
      <c r="II87" s="224"/>
    </row>
    <row r="88" spans="1:243" s="223" customFormat="1" ht="16">
      <c r="A88" s="1"/>
      <c r="B88" s="221"/>
      <c r="C88" s="2"/>
      <c r="D88" s="1"/>
      <c r="E88" s="1"/>
      <c r="F88" s="1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  <c r="CM88" s="224"/>
      <c r="CN88" s="224"/>
      <c r="CO88" s="224"/>
      <c r="CP88" s="224"/>
      <c r="CQ88" s="224"/>
      <c r="CR88" s="224"/>
      <c r="CS88" s="224"/>
      <c r="CT88" s="224"/>
      <c r="CU88" s="224"/>
      <c r="CV88" s="224"/>
      <c r="CW88" s="224"/>
      <c r="CX88" s="224"/>
      <c r="CY88" s="224"/>
      <c r="CZ88" s="224"/>
      <c r="DA88" s="224"/>
      <c r="DB88" s="224"/>
      <c r="DC88" s="224"/>
      <c r="DD88" s="224"/>
      <c r="DE88" s="224"/>
      <c r="DF88" s="224"/>
      <c r="DG88" s="224"/>
      <c r="DH88" s="224"/>
      <c r="DI88" s="224"/>
      <c r="DJ88" s="224"/>
      <c r="DK88" s="224"/>
      <c r="DL88" s="224"/>
      <c r="DM88" s="224"/>
      <c r="DN88" s="224"/>
      <c r="DO88" s="224"/>
      <c r="DP88" s="224"/>
      <c r="DQ88" s="224"/>
      <c r="DR88" s="224"/>
      <c r="DS88" s="224"/>
      <c r="DT88" s="224"/>
      <c r="DU88" s="224"/>
      <c r="DV88" s="224"/>
      <c r="DW88" s="224"/>
      <c r="DX88" s="224"/>
      <c r="DY88" s="224"/>
      <c r="DZ88" s="224"/>
      <c r="EA88" s="224"/>
      <c r="EB88" s="224"/>
      <c r="EC88" s="224"/>
      <c r="ED88" s="224"/>
      <c r="EE88" s="224"/>
      <c r="EF88" s="224"/>
      <c r="EG88" s="224"/>
      <c r="EH88" s="224"/>
      <c r="EI88" s="224"/>
      <c r="EJ88" s="224"/>
      <c r="EK88" s="224"/>
      <c r="EL88" s="224"/>
      <c r="EM88" s="224"/>
      <c r="EN88" s="224"/>
      <c r="EO88" s="224"/>
      <c r="EP88" s="224"/>
      <c r="EQ88" s="224"/>
      <c r="ER88" s="224"/>
      <c r="ES88" s="224"/>
      <c r="ET88" s="224"/>
      <c r="EU88" s="224"/>
      <c r="EV88" s="224"/>
      <c r="EW88" s="224"/>
      <c r="EX88" s="224"/>
      <c r="EY88" s="224"/>
      <c r="EZ88" s="224"/>
      <c r="FA88" s="224"/>
      <c r="FB88" s="224"/>
      <c r="FC88" s="224"/>
      <c r="FD88" s="224"/>
      <c r="FE88" s="224"/>
      <c r="FF88" s="224"/>
      <c r="FG88" s="224"/>
      <c r="FH88" s="224"/>
      <c r="FI88" s="224"/>
      <c r="FJ88" s="224"/>
      <c r="FK88" s="224"/>
      <c r="FL88" s="224"/>
      <c r="FM88" s="224"/>
      <c r="FN88" s="224"/>
      <c r="FO88" s="224"/>
      <c r="FP88" s="224"/>
      <c r="FQ88" s="224"/>
      <c r="FR88" s="224"/>
      <c r="FS88" s="224"/>
      <c r="FT88" s="224"/>
      <c r="FU88" s="224"/>
      <c r="FV88" s="224"/>
      <c r="FW88" s="224"/>
      <c r="FX88" s="224"/>
      <c r="FY88" s="224"/>
      <c r="FZ88" s="224"/>
      <c r="GA88" s="224"/>
      <c r="GB88" s="224"/>
      <c r="GC88" s="224"/>
      <c r="GD88" s="224"/>
      <c r="GE88" s="224"/>
      <c r="GF88" s="224"/>
      <c r="GG88" s="224"/>
      <c r="GH88" s="224"/>
      <c r="GI88" s="224"/>
      <c r="GJ88" s="224"/>
      <c r="GK88" s="224"/>
      <c r="GL88" s="224"/>
      <c r="GM88" s="224"/>
      <c r="GN88" s="224"/>
      <c r="GO88" s="224"/>
      <c r="GP88" s="224"/>
      <c r="GQ88" s="224"/>
      <c r="GR88" s="224"/>
      <c r="GS88" s="224"/>
      <c r="GT88" s="224"/>
      <c r="GU88" s="224"/>
      <c r="GV88" s="224"/>
      <c r="GW88" s="224"/>
      <c r="GX88" s="224"/>
      <c r="GY88" s="224"/>
      <c r="GZ88" s="224"/>
      <c r="HA88" s="224"/>
      <c r="HB88" s="224"/>
      <c r="HC88" s="224"/>
      <c r="HD88" s="224"/>
      <c r="HE88" s="224"/>
      <c r="HF88" s="224"/>
      <c r="HG88" s="224"/>
      <c r="HH88" s="224"/>
      <c r="HI88" s="224"/>
      <c r="HJ88" s="224"/>
      <c r="HK88" s="224"/>
      <c r="HL88" s="224"/>
      <c r="HM88" s="224"/>
      <c r="HN88" s="224"/>
      <c r="HO88" s="224"/>
      <c r="HP88" s="224"/>
      <c r="HQ88" s="224"/>
      <c r="HR88" s="224"/>
      <c r="HS88" s="224"/>
      <c r="HT88" s="224"/>
      <c r="HU88" s="224"/>
      <c r="HV88" s="224"/>
      <c r="HW88" s="224"/>
      <c r="HX88" s="224"/>
      <c r="HY88" s="224"/>
      <c r="HZ88" s="224"/>
      <c r="IA88" s="224"/>
      <c r="IB88" s="224"/>
      <c r="IC88" s="224"/>
      <c r="ID88" s="224"/>
      <c r="IE88" s="224"/>
      <c r="IF88" s="224"/>
      <c r="IG88" s="224"/>
      <c r="IH88" s="224"/>
      <c r="II88" s="224"/>
    </row>
    <row r="89" spans="1:243" s="223" customFormat="1" ht="16">
      <c r="A89" s="1"/>
      <c r="B89" s="221"/>
      <c r="C89" s="2"/>
      <c r="D89" s="1"/>
      <c r="E89" s="1"/>
      <c r="F89" s="1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  <c r="CM89" s="224"/>
      <c r="CN89" s="224"/>
      <c r="CO89" s="224"/>
      <c r="CP89" s="224"/>
      <c r="CQ89" s="224"/>
      <c r="CR89" s="224"/>
      <c r="CS89" s="224"/>
      <c r="CT89" s="224"/>
      <c r="CU89" s="224"/>
      <c r="CV89" s="224"/>
      <c r="CW89" s="224"/>
      <c r="CX89" s="224"/>
      <c r="CY89" s="224"/>
      <c r="CZ89" s="224"/>
      <c r="DA89" s="224"/>
      <c r="DB89" s="224"/>
      <c r="DC89" s="224"/>
      <c r="DD89" s="224"/>
      <c r="DE89" s="224"/>
      <c r="DF89" s="224"/>
      <c r="DG89" s="224"/>
      <c r="DH89" s="224"/>
      <c r="DI89" s="224"/>
      <c r="DJ89" s="224"/>
      <c r="DK89" s="224"/>
      <c r="DL89" s="224"/>
      <c r="DM89" s="224"/>
      <c r="DN89" s="224"/>
      <c r="DO89" s="224"/>
      <c r="DP89" s="224"/>
      <c r="DQ89" s="224"/>
      <c r="DR89" s="224"/>
      <c r="DS89" s="224"/>
      <c r="DT89" s="224"/>
      <c r="DU89" s="224"/>
      <c r="DV89" s="224"/>
      <c r="DW89" s="224"/>
      <c r="DX89" s="224"/>
      <c r="DY89" s="224"/>
      <c r="DZ89" s="224"/>
      <c r="EA89" s="224"/>
      <c r="EB89" s="224"/>
      <c r="EC89" s="224"/>
      <c r="ED89" s="224"/>
      <c r="EE89" s="224"/>
      <c r="EF89" s="224"/>
      <c r="EG89" s="224"/>
      <c r="EH89" s="224"/>
      <c r="EI89" s="224"/>
      <c r="EJ89" s="224"/>
      <c r="EK89" s="224"/>
      <c r="EL89" s="224"/>
      <c r="EM89" s="224"/>
      <c r="EN89" s="224"/>
      <c r="EO89" s="224"/>
      <c r="EP89" s="224"/>
      <c r="EQ89" s="224"/>
      <c r="ER89" s="224"/>
      <c r="ES89" s="224"/>
      <c r="ET89" s="224"/>
      <c r="EU89" s="224"/>
      <c r="EV89" s="224"/>
      <c r="EW89" s="224"/>
      <c r="EX89" s="224"/>
      <c r="EY89" s="224"/>
      <c r="EZ89" s="224"/>
      <c r="FA89" s="224"/>
      <c r="FB89" s="224"/>
      <c r="FC89" s="224"/>
      <c r="FD89" s="224"/>
      <c r="FE89" s="224"/>
      <c r="FF89" s="224"/>
      <c r="FG89" s="224"/>
      <c r="FH89" s="224"/>
      <c r="FI89" s="224"/>
      <c r="FJ89" s="224"/>
      <c r="FK89" s="224"/>
      <c r="FL89" s="224"/>
      <c r="FM89" s="224"/>
      <c r="FN89" s="224"/>
      <c r="FO89" s="224"/>
      <c r="FP89" s="224"/>
      <c r="FQ89" s="224"/>
      <c r="FR89" s="224"/>
      <c r="FS89" s="224"/>
      <c r="FT89" s="224"/>
      <c r="FU89" s="224"/>
      <c r="FV89" s="224"/>
      <c r="FW89" s="224"/>
      <c r="FX89" s="224"/>
      <c r="FY89" s="224"/>
      <c r="FZ89" s="224"/>
      <c r="GA89" s="224"/>
      <c r="GB89" s="224"/>
      <c r="GC89" s="224"/>
      <c r="GD89" s="224"/>
      <c r="GE89" s="224"/>
      <c r="GF89" s="224"/>
      <c r="GG89" s="224"/>
      <c r="GH89" s="224"/>
      <c r="GI89" s="224"/>
      <c r="GJ89" s="224"/>
      <c r="GK89" s="224"/>
      <c r="GL89" s="224"/>
      <c r="GM89" s="224"/>
      <c r="GN89" s="224"/>
      <c r="GO89" s="224"/>
      <c r="GP89" s="224"/>
      <c r="GQ89" s="224"/>
      <c r="GR89" s="224"/>
      <c r="GS89" s="224"/>
      <c r="GT89" s="224"/>
      <c r="GU89" s="224"/>
      <c r="GV89" s="224"/>
      <c r="GW89" s="224"/>
      <c r="GX89" s="224"/>
      <c r="GY89" s="224"/>
      <c r="GZ89" s="224"/>
      <c r="HA89" s="224"/>
      <c r="HB89" s="224"/>
      <c r="HC89" s="224"/>
      <c r="HD89" s="224"/>
      <c r="HE89" s="224"/>
      <c r="HF89" s="224"/>
      <c r="HG89" s="224"/>
      <c r="HH89" s="224"/>
      <c r="HI89" s="224"/>
      <c r="HJ89" s="224"/>
      <c r="HK89" s="224"/>
      <c r="HL89" s="224"/>
      <c r="HM89" s="224"/>
      <c r="HN89" s="224"/>
      <c r="HO89" s="224"/>
      <c r="HP89" s="224"/>
      <c r="HQ89" s="224"/>
      <c r="HR89" s="224"/>
      <c r="HS89" s="224"/>
      <c r="HT89" s="224"/>
      <c r="HU89" s="224"/>
      <c r="HV89" s="224"/>
      <c r="HW89" s="224"/>
      <c r="HX89" s="224"/>
      <c r="HY89" s="224"/>
      <c r="HZ89" s="224"/>
      <c r="IA89" s="224"/>
      <c r="IB89" s="224"/>
      <c r="IC89" s="224"/>
      <c r="ID89" s="224"/>
      <c r="IE89" s="224"/>
      <c r="IF89" s="224"/>
      <c r="IG89" s="224"/>
      <c r="IH89" s="224"/>
      <c r="II89" s="224"/>
    </row>
    <row r="90" spans="1:243" s="223" customFormat="1" ht="16">
      <c r="A90" s="1"/>
      <c r="B90" s="221"/>
      <c r="C90" s="2"/>
      <c r="D90" s="1"/>
      <c r="E90" s="1"/>
      <c r="F90" s="1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  <c r="CM90" s="224"/>
      <c r="CN90" s="224"/>
      <c r="CO90" s="224"/>
      <c r="CP90" s="224"/>
      <c r="CQ90" s="224"/>
      <c r="CR90" s="224"/>
      <c r="CS90" s="224"/>
      <c r="CT90" s="224"/>
      <c r="CU90" s="224"/>
      <c r="CV90" s="224"/>
      <c r="CW90" s="224"/>
      <c r="CX90" s="224"/>
      <c r="CY90" s="224"/>
      <c r="CZ90" s="224"/>
      <c r="DA90" s="224"/>
      <c r="DB90" s="224"/>
      <c r="DC90" s="224"/>
      <c r="DD90" s="224"/>
      <c r="DE90" s="224"/>
      <c r="DF90" s="224"/>
      <c r="DG90" s="224"/>
      <c r="DH90" s="224"/>
      <c r="DI90" s="224"/>
      <c r="DJ90" s="224"/>
      <c r="DK90" s="224"/>
      <c r="DL90" s="224"/>
      <c r="DM90" s="224"/>
      <c r="DN90" s="224"/>
      <c r="DO90" s="224"/>
      <c r="DP90" s="224"/>
      <c r="DQ90" s="224"/>
      <c r="DR90" s="224"/>
      <c r="DS90" s="224"/>
      <c r="DT90" s="224"/>
      <c r="DU90" s="224"/>
      <c r="DV90" s="224"/>
      <c r="DW90" s="224"/>
      <c r="DX90" s="224"/>
      <c r="DY90" s="224"/>
      <c r="DZ90" s="224"/>
      <c r="EA90" s="224"/>
      <c r="EB90" s="224"/>
      <c r="EC90" s="224"/>
      <c r="ED90" s="224"/>
      <c r="EE90" s="224"/>
      <c r="EF90" s="224"/>
      <c r="EG90" s="224"/>
      <c r="EH90" s="224"/>
      <c r="EI90" s="224"/>
      <c r="EJ90" s="224"/>
      <c r="EK90" s="224"/>
      <c r="EL90" s="224"/>
      <c r="EM90" s="224"/>
      <c r="EN90" s="224"/>
      <c r="EO90" s="224"/>
      <c r="EP90" s="224"/>
      <c r="EQ90" s="224"/>
      <c r="ER90" s="224"/>
      <c r="ES90" s="224"/>
      <c r="ET90" s="224"/>
      <c r="EU90" s="224"/>
      <c r="EV90" s="224"/>
      <c r="EW90" s="224"/>
      <c r="EX90" s="224"/>
      <c r="EY90" s="224"/>
      <c r="EZ90" s="224"/>
      <c r="FA90" s="224"/>
      <c r="FB90" s="224"/>
      <c r="FC90" s="224"/>
      <c r="FD90" s="224"/>
      <c r="FE90" s="224"/>
      <c r="FF90" s="224"/>
      <c r="FG90" s="224"/>
      <c r="FH90" s="224"/>
      <c r="FI90" s="224"/>
      <c r="FJ90" s="224"/>
      <c r="FK90" s="224"/>
      <c r="FL90" s="224"/>
      <c r="FM90" s="224"/>
      <c r="FN90" s="224"/>
      <c r="FO90" s="224"/>
      <c r="FP90" s="224"/>
      <c r="FQ90" s="224"/>
      <c r="FR90" s="224"/>
      <c r="FS90" s="224"/>
      <c r="FT90" s="224"/>
      <c r="FU90" s="224"/>
      <c r="FV90" s="224"/>
      <c r="FW90" s="224"/>
      <c r="FX90" s="224"/>
      <c r="FY90" s="224"/>
      <c r="FZ90" s="224"/>
      <c r="GA90" s="224"/>
      <c r="GB90" s="224"/>
      <c r="GC90" s="224"/>
      <c r="GD90" s="224"/>
      <c r="GE90" s="224"/>
      <c r="GF90" s="224"/>
      <c r="GG90" s="224"/>
      <c r="GH90" s="224"/>
      <c r="GI90" s="224"/>
      <c r="GJ90" s="224"/>
      <c r="GK90" s="224"/>
      <c r="GL90" s="224"/>
      <c r="GM90" s="224"/>
      <c r="GN90" s="224"/>
      <c r="GO90" s="224"/>
      <c r="GP90" s="224"/>
      <c r="GQ90" s="224"/>
      <c r="GR90" s="224"/>
      <c r="GS90" s="224"/>
      <c r="GT90" s="224"/>
      <c r="GU90" s="224"/>
      <c r="GV90" s="224"/>
      <c r="GW90" s="224"/>
      <c r="GX90" s="224"/>
      <c r="GY90" s="224"/>
      <c r="GZ90" s="224"/>
      <c r="HA90" s="224"/>
      <c r="HB90" s="224"/>
      <c r="HC90" s="224"/>
      <c r="HD90" s="224"/>
      <c r="HE90" s="224"/>
      <c r="HF90" s="224"/>
      <c r="HG90" s="224"/>
      <c r="HH90" s="224"/>
      <c r="HI90" s="224"/>
      <c r="HJ90" s="224"/>
      <c r="HK90" s="224"/>
      <c r="HL90" s="224"/>
      <c r="HM90" s="224"/>
      <c r="HN90" s="224"/>
      <c r="HO90" s="224"/>
      <c r="HP90" s="224"/>
      <c r="HQ90" s="224"/>
      <c r="HR90" s="224"/>
      <c r="HS90" s="224"/>
      <c r="HT90" s="224"/>
      <c r="HU90" s="224"/>
      <c r="HV90" s="224"/>
      <c r="HW90" s="224"/>
      <c r="HX90" s="224"/>
      <c r="HY90" s="224"/>
      <c r="HZ90" s="224"/>
      <c r="IA90" s="224"/>
      <c r="IB90" s="224"/>
      <c r="IC90" s="224"/>
      <c r="ID90" s="224"/>
      <c r="IE90" s="224"/>
      <c r="IF90" s="224"/>
      <c r="IG90" s="224"/>
      <c r="IH90" s="224"/>
      <c r="II90" s="224"/>
    </row>
    <row r="91" spans="1:6" s="224" customFormat="1" ht="16">
      <c r="A91" s="1"/>
      <c r="B91" s="221"/>
      <c r="C91" s="2"/>
      <c r="D91" s="1"/>
      <c r="E91" s="1"/>
      <c r="F91" s="1"/>
    </row>
    <row r="92" spans="1:6" s="224" customFormat="1" ht="16">
      <c r="A92" s="1"/>
      <c r="B92" s="221"/>
      <c r="C92" s="2"/>
      <c r="D92" s="1"/>
      <c r="E92" s="1"/>
      <c r="F92" s="1"/>
    </row>
    <row r="93" spans="1:6" s="220" customFormat="1" ht="16">
      <c r="A93" s="1"/>
      <c r="B93" s="221"/>
      <c r="C93" s="2"/>
      <c r="D93" s="1"/>
      <c r="E93" s="1"/>
      <c r="F93" s="1"/>
    </row>
    <row r="94" spans="1:243" s="220" customFormat="1" ht="16">
      <c r="A94" s="1"/>
      <c r="B94" s="22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</row>
    <row r="95" spans="1:243" s="220" customFormat="1" ht="16">
      <c r="A95" s="1"/>
      <c r="B95" s="22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</row>
    <row r="96" spans="1:243" s="220" customFormat="1" ht="16">
      <c r="A96" s="1"/>
      <c r="B96" s="22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</row>
  </sheetData>
  <printOptions horizontalCentered="1" verticalCentered="1"/>
  <pageMargins left="0.7900000000000001" right="0.7500000000000001" top="0.51" bottom="0.47" header="0.51" footer="0.28"/>
  <pageSetup fitToHeight="1" fitToWidth="1" horizontalDpi="300" verticalDpi="300" orientation="portrait" paperSize="9" scale="50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4"/>
  <sheetViews>
    <sheetView zoomScale="75" zoomScaleNormal="75" zoomScaleSheetLayoutView="75" zoomScalePageLayoutView="75" workbookViewId="0" topLeftCell="A40">
      <selection activeCell="E32" sqref="E32"/>
    </sheetView>
  </sheetViews>
  <sheetFormatPr defaultColWidth="8.75390625" defaultRowHeight="12.75"/>
  <cols>
    <col min="2" max="2" width="61.00390625" style="0" customWidth="1"/>
    <col min="3" max="3" width="13.25390625" style="0" customWidth="1"/>
    <col min="4" max="8" width="10.75390625" style="0" customWidth="1"/>
    <col min="9" max="9" width="11.625" style="5" customWidth="1"/>
    <col min="10" max="10" width="18.625" style="5" customWidth="1"/>
    <col min="11" max="11" width="3.125" style="5" customWidth="1"/>
    <col min="12" max="12" width="10.75390625" style="5" customWidth="1"/>
    <col min="13" max="13" width="19.25390625" style="5" customWidth="1"/>
  </cols>
  <sheetData>
    <row r="1" spans="2:13" s="8" customFormat="1" ht="18">
      <c r="B1" s="9" t="s">
        <v>4</v>
      </c>
      <c r="C1" s="10">
        <v>150</v>
      </c>
      <c r="I1" s="11"/>
      <c r="J1" s="11"/>
      <c r="K1" s="11"/>
      <c r="L1" s="11"/>
      <c r="M1" s="11"/>
    </row>
    <row r="2" spans="2:13" s="8" customFormat="1" ht="18">
      <c r="B2" s="9" t="s">
        <v>5</v>
      </c>
      <c r="C2" s="10">
        <v>5</v>
      </c>
      <c r="I2" s="12"/>
      <c r="J2" s="12"/>
      <c r="K2" s="12"/>
      <c r="L2" s="12"/>
      <c r="M2" s="12"/>
    </row>
    <row r="3" spans="2:3" ht="12.75">
      <c r="B3" t="s">
        <v>6</v>
      </c>
      <c r="C3" s="13" t="e">
        <f>SUM(#REF!)+SUM(#REF!)+SUM(#REF!)</f>
        <v>#REF!</v>
      </c>
    </row>
    <row r="4" spans="2:3" ht="12.75">
      <c r="B4" t="s">
        <v>7</v>
      </c>
      <c r="C4" s="13" t="e">
        <f>SUM(#REF!)+#REF!</f>
        <v>#REF!</v>
      </c>
    </row>
    <row r="5" spans="2:3" ht="12.75">
      <c r="B5" t="s">
        <v>8</v>
      </c>
      <c r="C5" s="13" t="e">
        <f>SUM(#REF!)</f>
        <v>#REF!</v>
      </c>
    </row>
    <row r="6" spans="2:3" ht="12.75">
      <c r="B6" t="s">
        <v>9</v>
      </c>
      <c r="C6" s="13" t="e">
        <f>SUM(#REF!)</f>
        <v>#REF!</v>
      </c>
    </row>
    <row r="7" spans="2:3" ht="12.75">
      <c r="B7" t="s">
        <v>10</v>
      </c>
      <c r="C7" s="14">
        <v>70</v>
      </c>
    </row>
    <row r="8" spans="2:3" ht="12.75">
      <c r="B8" t="s">
        <v>11</v>
      </c>
      <c r="C8" s="14">
        <v>40</v>
      </c>
    </row>
    <row r="9" spans="2:3" ht="12.75">
      <c r="B9" t="s">
        <v>12</v>
      </c>
      <c r="C9" s="15">
        <v>350</v>
      </c>
    </row>
    <row r="10" spans="2:3" ht="12.75">
      <c r="B10" t="s">
        <v>13</v>
      </c>
      <c r="C10" s="15">
        <v>10</v>
      </c>
    </row>
    <row r="11" spans="3:13" s="16" customFormat="1" ht="12.75">
      <c r="C11" s="7"/>
      <c r="I11" s="17"/>
      <c r="J11" s="17"/>
      <c r="K11" s="17"/>
      <c r="L11" s="17"/>
      <c r="M11" s="17"/>
    </row>
    <row r="12" spans="2:13" s="16" customFormat="1" ht="12.75">
      <c r="B12" s="16" t="s">
        <v>14</v>
      </c>
      <c r="C12" s="7" t="e">
        <f>SUM(#REF!)</f>
        <v>#REF!</v>
      </c>
      <c r="I12" s="17"/>
      <c r="J12" s="17"/>
      <c r="K12" s="17"/>
      <c r="L12" s="17"/>
      <c r="M12" s="17"/>
    </row>
    <row r="13" spans="2:13" s="16" customFormat="1" ht="12.75">
      <c r="B13" s="16" t="s">
        <v>15</v>
      </c>
      <c r="C13" s="7" t="e">
        <f>SUM(#REF!)</f>
        <v>#REF!</v>
      </c>
      <c r="I13" s="17"/>
      <c r="J13" s="17"/>
      <c r="K13" s="17"/>
      <c r="L13" s="17"/>
      <c r="M13" s="17"/>
    </row>
    <row r="14" spans="2:13" s="16" customFormat="1" ht="12.75">
      <c r="B14" s="16" t="s">
        <v>16</v>
      </c>
      <c r="C14" s="18">
        <v>0</v>
      </c>
      <c r="I14" s="17"/>
      <c r="J14" s="17"/>
      <c r="K14" s="17"/>
      <c r="L14" s="17"/>
      <c r="M14" s="17"/>
    </row>
    <row r="15" spans="2:13" s="16" customFormat="1" ht="12.75">
      <c r="B15" s="16" t="s">
        <v>17</v>
      </c>
      <c r="C15" s="18">
        <v>1</v>
      </c>
      <c r="I15" s="17"/>
      <c r="J15" s="17"/>
      <c r="K15" s="17"/>
      <c r="L15" s="17"/>
      <c r="M15" s="17"/>
    </row>
    <row r="16" spans="2:13" s="16" customFormat="1" ht="12.75">
      <c r="B16" s="16" t="s">
        <v>18</v>
      </c>
      <c r="C16" s="16" t="e">
        <f>IF(#REF!,ABS(IF(SUM(#REF!)-SUM(#REF!),(SUM(#REF!)-SUM(#REF!))*1.5+SUM(#REF!),SUM(#REF!))),0.2*SUM(#REF!))</f>
        <v>#REF!</v>
      </c>
      <c r="D16" s="16" t="s">
        <v>19</v>
      </c>
      <c r="I16" s="17"/>
      <c r="J16" s="17"/>
      <c r="K16" s="17"/>
      <c r="L16" s="17"/>
      <c r="M16" s="17"/>
    </row>
    <row r="18" spans="2:13" ht="12.75">
      <c r="B18" s="19"/>
      <c r="C18" s="20"/>
      <c r="D18" s="21" t="s">
        <v>20</v>
      </c>
      <c r="E18" s="22"/>
      <c r="F18" s="22"/>
      <c r="G18" s="22"/>
      <c r="H18" s="23"/>
      <c r="I18" s="320" t="s">
        <v>21</v>
      </c>
      <c r="J18" s="320"/>
      <c r="K18" s="24"/>
      <c r="L18" s="21" t="s">
        <v>22</v>
      </c>
      <c r="M18" s="25"/>
    </row>
    <row r="19" spans="2:13" ht="12.75">
      <c r="B19" s="26"/>
      <c r="C19" s="27"/>
      <c r="D19" s="28" t="s">
        <v>23</v>
      </c>
      <c r="E19" s="22" t="s">
        <v>1</v>
      </c>
      <c r="F19" s="22" t="s">
        <v>24</v>
      </c>
      <c r="G19" s="22" t="s">
        <v>25</v>
      </c>
      <c r="H19" s="23" t="s">
        <v>26</v>
      </c>
      <c r="I19" s="28" t="s">
        <v>27</v>
      </c>
      <c r="J19" s="25" t="s">
        <v>26</v>
      </c>
      <c r="K19" s="22"/>
      <c r="L19" s="28" t="s">
        <v>27</v>
      </c>
      <c r="M19" s="25" t="s">
        <v>26</v>
      </c>
    </row>
    <row r="20" spans="2:13" ht="12.75">
      <c r="B20" s="29" t="s">
        <v>28</v>
      </c>
      <c r="C20" s="5"/>
      <c r="D20" s="30">
        <v>2</v>
      </c>
      <c r="E20" s="5">
        <v>1</v>
      </c>
      <c r="F20" s="5">
        <v>60</v>
      </c>
      <c r="G20" s="31">
        <f aca="true" t="shared" si="0" ref="G20:G26">E20*F20/60</f>
        <v>1</v>
      </c>
      <c r="H20" s="32">
        <v>0</v>
      </c>
      <c r="I20" s="33" t="e">
        <f>IF(SUM(C$3:C$6)+SUM(C$12:C$13),D20*G20,0)</f>
        <v>#REF!</v>
      </c>
      <c r="J20" s="34">
        <f aca="true" t="shared" si="1" ref="J20:J37">H20</f>
        <v>0</v>
      </c>
      <c r="K20" s="35"/>
      <c r="L20" s="33" t="e">
        <f>IF(SUM(C$3:C$6)+SUM(C$12:C$13),D20*G20,0)</f>
        <v>#REF!</v>
      </c>
      <c r="M20" s="34">
        <f aca="true" t="shared" si="2" ref="M20:M26">H20</f>
        <v>0</v>
      </c>
    </row>
    <row r="21" spans="2:13" ht="12.75">
      <c r="B21" s="29" t="s">
        <v>29</v>
      </c>
      <c r="C21" s="5"/>
      <c r="D21" s="30">
        <v>2</v>
      </c>
      <c r="E21" s="5">
        <v>1</v>
      </c>
      <c r="F21" s="5">
        <v>60</v>
      </c>
      <c r="G21" s="31">
        <f t="shared" si="0"/>
        <v>1</v>
      </c>
      <c r="H21" s="32">
        <v>0</v>
      </c>
      <c r="I21" s="33" t="e">
        <f>IF(SUM(C$3:C$6)+SUM(C$12:C$13),D21*G21,0)</f>
        <v>#REF!</v>
      </c>
      <c r="J21" s="34">
        <f t="shared" si="1"/>
        <v>0</v>
      </c>
      <c r="K21" s="35"/>
      <c r="L21" s="33" t="e">
        <f>IF(SUM(C$3:C$6)+SUM(C$12:C$13),D21*G21,0)</f>
        <v>#REF!</v>
      </c>
      <c r="M21" s="34">
        <f t="shared" si="2"/>
        <v>0</v>
      </c>
    </row>
    <row r="22" spans="2:13" ht="12.75">
      <c r="B22" s="29" t="s">
        <v>30</v>
      </c>
      <c r="C22" s="5"/>
      <c r="D22" s="36">
        <v>1</v>
      </c>
      <c r="E22" s="3">
        <v>1</v>
      </c>
      <c r="F22" s="5">
        <v>45</v>
      </c>
      <c r="G22" s="31">
        <f t="shared" si="0"/>
        <v>0.75</v>
      </c>
      <c r="H22" s="32"/>
      <c r="I22" s="33"/>
      <c r="J22" s="34">
        <f t="shared" si="1"/>
        <v>0</v>
      </c>
      <c r="K22" s="35"/>
      <c r="L22" s="33" t="e">
        <f>IF(SUM(C$3:C$6),D22*G22,0)</f>
        <v>#REF!</v>
      </c>
      <c r="M22" s="34">
        <f t="shared" si="2"/>
        <v>0</v>
      </c>
    </row>
    <row r="23" spans="2:13" ht="12.75">
      <c r="B23" s="29" t="s">
        <v>31</v>
      </c>
      <c r="C23" s="5"/>
      <c r="D23" s="36">
        <v>1</v>
      </c>
      <c r="E23" s="3">
        <v>1</v>
      </c>
      <c r="F23" s="5">
        <v>45</v>
      </c>
      <c r="G23" s="31">
        <f t="shared" si="0"/>
        <v>0.75</v>
      </c>
      <c r="H23" s="32"/>
      <c r="I23" s="33"/>
      <c r="J23" s="34">
        <f t="shared" si="1"/>
        <v>0</v>
      </c>
      <c r="K23" s="35"/>
      <c r="L23" s="33" t="e">
        <f>IF(SUM(C$3:C$6),D23*G23,0)</f>
        <v>#REF!</v>
      </c>
      <c r="M23" s="34">
        <f t="shared" si="2"/>
        <v>0</v>
      </c>
    </row>
    <row r="24" spans="2:13" ht="12.75">
      <c r="B24" s="29" t="s">
        <v>32</v>
      </c>
      <c r="C24" s="5"/>
      <c r="D24" s="30">
        <v>1</v>
      </c>
      <c r="E24" s="3" t="e">
        <f>C12</f>
        <v>#REF!</v>
      </c>
      <c r="F24" s="5">
        <f>10/D24</f>
        <v>10</v>
      </c>
      <c r="G24" s="31" t="e">
        <f t="shared" si="0"/>
        <v>#REF!</v>
      </c>
      <c r="H24" s="32"/>
      <c r="I24" s="33"/>
      <c r="J24" s="34">
        <f t="shared" si="1"/>
        <v>0</v>
      </c>
      <c r="K24" s="35"/>
      <c r="L24" s="33" t="e">
        <f>IF(SUM(C$3:C$6),D24*G24,0)</f>
        <v>#REF!</v>
      </c>
      <c r="M24" s="34">
        <f t="shared" si="2"/>
        <v>0</v>
      </c>
    </row>
    <row r="25" spans="2:13" ht="12.75">
      <c r="B25" s="29" t="s">
        <v>33</v>
      </c>
      <c r="C25" s="5"/>
      <c r="D25" s="30">
        <v>1</v>
      </c>
      <c r="E25" s="3" t="e">
        <f>C13</f>
        <v>#REF!</v>
      </c>
      <c r="F25" s="5">
        <f>15/D25</f>
        <v>15</v>
      </c>
      <c r="G25" s="31" t="e">
        <f t="shared" si="0"/>
        <v>#REF!</v>
      </c>
      <c r="H25" s="32"/>
      <c r="I25" s="33"/>
      <c r="J25" s="34">
        <f t="shared" si="1"/>
        <v>0</v>
      </c>
      <c r="K25" s="35"/>
      <c r="L25" s="33" t="e">
        <f>IF(SUM(C$3:C$6),D25*G25,0)</f>
        <v>#REF!</v>
      </c>
      <c r="M25" s="34">
        <f t="shared" si="2"/>
        <v>0</v>
      </c>
    </row>
    <row r="26" spans="2:13" ht="12.75">
      <c r="B26" s="29" t="s">
        <v>34</v>
      </c>
      <c r="C26" s="5"/>
      <c r="D26" s="30">
        <v>2</v>
      </c>
      <c r="E26" s="3" t="e">
        <f>C4</f>
        <v>#REF!</v>
      </c>
      <c r="F26" s="5">
        <v>7</v>
      </c>
      <c r="G26" s="31" t="e">
        <f t="shared" si="0"/>
        <v>#REF!</v>
      </c>
      <c r="H26" s="32"/>
      <c r="I26" s="33"/>
      <c r="J26" s="34">
        <f t="shared" si="1"/>
        <v>0</v>
      </c>
      <c r="K26" s="35"/>
      <c r="L26" s="33" t="e">
        <f>IF(SUM(C$3:C$6),D26*G26,0)</f>
        <v>#REF!</v>
      </c>
      <c r="M26" s="34">
        <f t="shared" si="2"/>
        <v>0</v>
      </c>
    </row>
    <row r="27" spans="2:13" ht="12.75">
      <c r="B27" s="29" t="s">
        <v>35</v>
      </c>
      <c r="C27" s="5"/>
      <c r="D27" s="30">
        <v>2</v>
      </c>
      <c r="E27" s="5">
        <v>1</v>
      </c>
      <c r="F27" s="5"/>
      <c r="G27" s="37">
        <f>E27*($C$1/$C$7)</f>
        <v>2.142857142857143</v>
      </c>
      <c r="H27" s="32">
        <f>E27*$C$1</f>
        <v>150</v>
      </c>
      <c r="I27" s="33" t="e">
        <f>IF(SUM(C$3:C$6)+SUM(C$12:C$13),D27*G27,0)</f>
        <v>#REF!</v>
      </c>
      <c r="J27" s="34">
        <f t="shared" si="1"/>
        <v>150</v>
      </c>
      <c r="K27" s="35"/>
      <c r="L27" s="33"/>
      <c r="M27" s="34"/>
    </row>
    <row r="28" spans="2:13" ht="12.75">
      <c r="B28" s="38" t="s">
        <v>36</v>
      </c>
      <c r="C28" s="39"/>
      <c r="D28" s="40">
        <f>$D$27</f>
        <v>2</v>
      </c>
      <c r="E28" s="39">
        <v>1</v>
      </c>
      <c r="F28" s="39"/>
      <c r="G28" s="31" t="e">
        <f>E28*($C$2/3/$C$8+$C$4*0.1)</f>
        <v>#REF!</v>
      </c>
      <c r="H28" s="41">
        <f>E28*$C$2*4</f>
        <v>20</v>
      </c>
      <c r="I28" s="42" t="e">
        <f>D28*G28</f>
        <v>#REF!</v>
      </c>
      <c r="J28" s="43">
        <f t="shared" si="1"/>
        <v>20</v>
      </c>
      <c r="K28" s="44"/>
      <c r="L28" s="42" t="e">
        <f>D28*G28</f>
        <v>#REF!</v>
      </c>
      <c r="M28" s="34">
        <f>H28</f>
        <v>20</v>
      </c>
    </row>
    <row r="29" spans="2:13" ht="12.75">
      <c r="B29" s="29" t="s">
        <v>37</v>
      </c>
      <c r="C29" s="5"/>
      <c r="D29" s="40">
        <f aca="true" t="shared" si="3" ref="D29:D56">$D$27</f>
        <v>2</v>
      </c>
      <c r="E29" s="5">
        <v>1</v>
      </c>
      <c r="F29" s="5">
        <v>30</v>
      </c>
      <c r="G29" s="31">
        <f>E29*F29/60</f>
        <v>0.5</v>
      </c>
      <c r="H29" s="32">
        <v>0</v>
      </c>
      <c r="I29" s="33" t="e">
        <f>IF(SUM(C$3:C$6)+SUM(C$12:C$13),D29*G29,0)</f>
        <v>#REF!</v>
      </c>
      <c r="J29" s="34">
        <f t="shared" si="1"/>
        <v>0</v>
      </c>
      <c r="K29" s="35"/>
      <c r="L29" s="33"/>
      <c r="M29" s="34"/>
    </row>
    <row r="30" spans="2:13" ht="12.75">
      <c r="B30" s="29" t="s">
        <v>38</v>
      </c>
      <c r="C30" s="5"/>
      <c r="D30" s="40">
        <f t="shared" si="3"/>
        <v>2</v>
      </c>
      <c r="E30" s="3" t="e">
        <f>C4</f>
        <v>#REF!</v>
      </c>
      <c r="F30" s="5">
        <f>10/D30</f>
        <v>5</v>
      </c>
      <c r="G30" s="31" t="e">
        <f>E30*F30/60</f>
        <v>#REF!</v>
      </c>
      <c r="H30" s="32">
        <v>0</v>
      </c>
      <c r="I30" s="33" t="e">
        <f>IF(SUM(C$3:C$6)+SUM(C$12:C$13),D30*G30,0)</f>
        <v>#REF!</v>
      </c>
      <c r="J30" s="34">
        <f t="shared" si="1"/>
        <v>0</v>
      </c>
      <c r="K30" s="35"/>
      <c r="L30" s="33"/>
      <c r="M30" s="34"/>
    </row>
    <row r="31" spans="2:13" ht="12.75">
      <c r="B31" s="38" t="s">
        <v>39</v>
      </c>
      <c r="C31" s="39"/>
      <c r="D31" s="40">
        <f t="shared" si="3"/>
        <v>2</v>
      </c>
      <c r="E31" s="45" t="e">
        <f>C5</f>
        <v>#REF!</v>
      </c>
      <c r="F31" s="39">
        <f>5/D31</f>
        <v>2.5</v>
      </c>
      <c r="G31" s="46" t="e">
        <f>E31*F31/60</f>
        <v>#REF!</v>
      </c>
      <c r="H31" s="41">
        <v>0</v>
      </c>
      <c r="I31" s="33" t="e">
        <f>IF(SUM(C$3:C$6)+SUM(C$12:C$13),D31*G31,0)</f>
        <v>#REF!</v>
      </c>
      <c r="J31" s="34">
        <f t="shared" si="1"/>
        <v>0</v>
      </c>
      <c r="K31" s="35"/>
      <c r="L31" s="33"/>
      <c r="M31" s="34"/>
    </row>
    <row r="32" spans="1:13" ht="12.75">
      <c r="A32" t="s">
        <v>40</v>
      </c>
      <c r="B32" s="29" t="s">
        <v>41</v>
      </c>
      <c r="C32" s="5"/>
      <c r="D32" s="40">
        <f t="shared" si="3"/>
        <v>2</v>
      </c>
      <c r="E32" s="3" t="e">
        <f aca="true" t="shared" si="4" ref="E32:E37">$C$3</f>
        <v>#REF!</v>
      </c>
      <c r="F32" s="5">
        <f>10/D32</f>
        <v>5</v>
      </c>
      <c r="G32" s="31" t="e">
        <f aca="true" t="shared" si="5" ref="G32:G37">E32*F32/60</f>
        <v>#REF!</v>
      </c>
      <c r="H32" s="32">
        <v>0</v>
      </c>
      <c r="I32" s="47" t="e">
        <f aca="true" t="shared" si="6" ref="I32:I56">D32*G32</f>
        <v>#REF!</v>
      </c>
      <c r="J32" s="48">
        <f t="shared" si="1"/>
        <v>0</v>
      </c>
      <c r="K32" s="49"/>
      <c r="L32" s="47"/>
      <c r="M32" s="34"/>
    </row>
    <row r="33" spans="2:13" ht="12.75">
      <c r="B33" s="29" t="s">
        <v>42</v>
      </c>
      <c r="C33" s="5"/>
      <c r="D33" s="40">
        <f t="shared" si="3"/>
        <v>2</v>
      </c>
      <c r="E33" s="3" t="e">
        <f t="shared" si="4"/>
        <v>#REF!</v>
      </c>
      <c r="F33" s="5"/>
      <c r="G33" s="31" t="e">
        <f>E33*($C$2/3/$C$8)</f>
        <v>#REF!</v>
      </c>
      <c r="H33" s="50" t="e">
        <f>E33*$C$2/3</f>
        <v>#REF!</v>
      </c>
      <c r="I33" s="47" t="e">
        <f t="shared" si="6"/>
        <v>#REF!</v>
      </c>
      <c r="J33" s="48" t="e">
        <f t="shared" si="1"/>
        <v>#REF!</v>
      </c>
      <c r="K33" s="49"/>
      <c r="L33" s="47"/>
      <c r="M33" s="34"/>
    </row>
    <row r="34" spans="2:13" ht="12.75">
      <c r="B34" s="29" t="s">
        <v>43</v>
      </c>
      <c r="C34" s="5"/>
      <c r="D34" s="40">
        <f t="shared" si="3"/>
        <v>2</v>
      </c>
      <c r="E34" s="3" t="e">
        <f t="shared" si="4"/>
        <v>#REF!</v>
      </c>
      <c r="F34" s="5">
        <v>30</v>
      </c>
      <c r="G34" s="31" t="e">
        <f t="shared" si="5"/>
        <v>#REF!</v>
      </c>
      <c r="H34" s="32">
        <v>0</v>
      </c>
      <c r="I34" s="47" t="e">
        <f t="shared" si="6"/>
        <v>#REF!</v>
      </c>
      <c r="J34" s="48">
        <f t="shared" si="1"/>
        <v>0</v>
      </c>
      <c r="K34" s="49"/>
      <c r="L34" s="47"/>
      <c r="M34" s="34"/>
    </row>
    <row r="35" spans="2:13" ht="12.75">
      <c r="B35" s="29" t="s">
        <v>44</v>
      </c>
      <c r="C35" s="5"/>
      <c r="D35" s="40">
        <f t="shared" si="3"/>
        <v>2</v>
      </c>
      <c r="E35" s="3" t="e">
        <f t="shared" si="4"/>
        <v>#REF!</v>
      </c>
      <c r="F35" s="5">
        <v>300</v>
      </c>
      <c r="G35" s="31" t="e">
        <f t="shared" si="5"/>
        <v>#REF!</v>
      </c>
      <c r="H35" s="32">
        <v>0</v>
      </c>
      <c r="I35" s="47" t="e">
        <f t="shared" si="6"/>
        <v>#REF!</v>
      </c>
      <c r="J35" s="48">
        <f t="shared" si="1"/>
        <v>0</v>
      </c>
      <c r="K35" s="49"/>
      <c r="L35" s="47"/>
      <c r="M35" s="34"/>
    </row>
    <row r="36" spans="2:13" ht="12.75">
      <c r="B36" s="29" t="s">
        <v>45</v>
      </c>
      <c r="C36" s="5"/>
      <c r="D36" s="40">
        <f t="shared" si="3"/>
        <v>2</v>
      </c>
      <c r="E36" s="3" t="e">
        <f t="shared" si="4"/>
        <v>#REF!</v>
      </c>
      <c r="F36" s="5">
        <v>120</v>
      </c>
      <c r="G36" s="31" t="e">
        <f t="shared" si="5"/>
        <v>#REF!</v>
      </c>
      <c r="H36" s="32">
        <v>0</v>
      </c>
      <c r="I36" s="47" t="e">
        <f t="shared" si="6"/>
        <v>#REF!</v>
      </c>
      <c r="J36" s="48">
        <f t="shared" si="1"/>
        <v>0</v>
      </c>
      <c r="K36" s="49"/>
      <c r="L36" s="47"/>
      <c r="M36" s="34"/>
    </row>
    <row r="37" spans="2:13" ht="12.75">
      <c r="B37" s="38" t="s">
        <v>46</v>
      </c>
      <c r="C37" s="39"/>
      <c r="D37" s="40">
        <f t="shared" si="3"/>
        <v>2</v>
      </c>
      <c r="E37" s="3" t="e">
        <f t="shared" si="4"/>
        <v>#REF!</v>
      </c>
      <c r="F37" s="5">
        <v>30</v>
      </c>
      <c r="G37" s="31" t="e">
        <f t="shared" si="5"/>
        <v>#REF!</v>
      </c>
      <c r="H37" s="41">
        <v>0</v>
      </c>
      <c r="I37" s="47" t="e">
        <f t="shared" si="6"/>
        <v>#REF!</v>
      </c>
      <c r="J37" s="48">
        <f t="shared" si="1"/>
        <v>0</v>
      </c>
      <c r="K37" s="49"/>
      <c r="L37" s="47"/>
      <c r="M37" s="34"/>
    </row>
    <row r="38" spans="1:13" ht="12.75">
      <c r="A38" t="s">
        <v>47</v>
      </c>
      <c r="B38" s="29" t="s">
        <v>48</v>
      </c>
      <c r="C38" s="5"/>
      <c r="D38" s="40">
        <f t="shared" si="3"/>
        <v>2</v>
      </c>
      <c r="E38" s="3" t="e">
        <f>$C$14*$C$4/4</f>
        <v>#REF!</v>
      </c>
      <c r="F38" s="5">
        <f>10/D38</f>
        <v>5</v>
      </c>
      <c r="G38" s="31" t="e">
        <f>E38*F38/60</f>
        <v>#REF!</v>
      </c>
      <c r="H38" s="32">
        <v>0</v>
      </c>
      <c r="I38" s="47" t="e">
        <f t="shared" si="6"/>
        <v>#REF!</v>
      </c>
      <c r="J38" s="34">
        <f aca="true" t="shared" si="7" ref="J38:J49">H38</f>
        <v>0</v>
      </c>
      <c r="K38" s="35"/>
      <c r="L38" s="33"/>
      <c r="M38" s="34"/>
    </row>
    <row r="39" spans="2:13" ht="12.75">
      <c r="B39" s="29" t="s">
        <v>49</v>
      </c>
      <c r="C39" s="5"/>
      <c r="D39" s="40">
        <f t="shared" si="3"/>
        <v>2</v>
      </c>
      <c r="E39" s="3" t="e">
        <f>$C$14*$C$4/4</f>
        <v>#REF!</v>
      </c>
      <c r="F39" s="5"/>
      <c r="G39" s="31" t="e">
        <f>E39*$C$2/3/$C$8</f>
        <v>#REF!</v>
      </c>
      <c r="H39" s="51" t="e">
        <f>E39*$C$2/2</f>
        <v>#REF!</v>
      </c>
      <c r="I39" s="47" t="e">
        <f t="shared" si="6"/>
        <v>#REF!</v>
      </c>
      <c r="J39" s="34" t="e">
        <f t="shared" si="7"/>
        <v>#REF!</v>
      </c>
      <c r="K39" s="35"/>
      <c r="L39" s="33"/>
      <c r="M39" s="34"/>
    </row>
    <row r="40" spans="2:13" ht="12.75">
      <c r="B40" s="29" t="s">
        <v>50</v>
      </c>
      <c r="C40" s="5" t="s">
        <v>51</v>
      </c>
      <c r="D40" s="40">
        <f t="shared" si="3"/>
        <v>2</v>
      </c>
      <c r="E40" s="3" t="e">
        <f>$C$14*$C$4</f>
        <v>#REF!</v>
      </c>
      <c r="F40" s="5">
        <f>10/D40</f>
        <v>5</v>
      </c>
      <c r="G40" s="31" t="e">
        <f>E40*F40/60</f>
        <v>#REF!</v>
      </c>
      <c r="H40" s="32">
        <v>0</v>
      </c>
      <c r="I40" s="47" t="e">
        <f t="shared" si="6"/>
        <v>#REF!</v>
      </c>
      <c r="J40" s="34">
        <f t="shared" si="7"/>
        <v>0</v>
      </c>
      <c r="K40" s="35"/>
      <c r="L40" s="33"/>
      <c r="M40" s="34"/>
    </row>
    <row r="41" spans="2:13" ht="12.75">
      <c r="B41" s="29" t="s">
        <v>52</v>
      </c>
      <c r="C41" s="5"/>
      <c r="D41" s="40">
        <f t="shared" si="3"/>
        <v>2</v>
      </c>
      <c r="E41" s="3" t="e">
        <f>$C$14*$C$4</f>
        <v>#REF!</v>
      </c>
      <c r="F41" s="5">
        <f>240/D41</f>
        <v>120</v>
      </c>
      <c r="G41" s="31" t="e">
        <f>E41*F41/60</f>
        <v>#REF!</v>
      </c>
      <c r="H41" s="32">
        <v>0</v>
      </c>
      <c r="I41" s="47" t="e">
        <f t="shared" si="6"/>
        <v>#REF!</v>
      </c>
      <c r="J41" s="34">
        <f t="shared" si="7"/>
        <v>0</v>
      </c>
      <c r="K41" s="35"/>
      <c r="L41" s="33"/>
      <c r="M41" s="34"/>
    </row>
    <row r="42" spans="2:13" ht="12.75">
      <c r="B42" s="29" t="s">
        <v>53</v>
      </c>
      <c r="C42" s="5"/>
      <c r="D42" s="40">
        <f t="shared" si="3"/>
        <v>2</v>
      </c>
      <c r="E42" s="3" t="e">
        <f>$C$14*$C$4</f>
        <v>#REF!</v>
      </c>
      <c r="F42" s="5">
        <f>10/D42</f>
        <v>5</v>
      </c>
      <c r="G42" s="31" t="e">
        <f>E42*F42/60</f>
        <v>#REF!</v>
      </c>
      <c r="H42" s="32">
        <v>0</v>
      </c>
      <c r="I42" s="47" t="e">
        <f t="shared" si="6"/>
        <v>#REF!</v>
      </c>
      <c r="J42" s="34">
        <f t="shared" si="7"/>
        <v>0</v>
      </c>
      <c r="K42" s="35"/>
      <c r="L42" s="33"/>
      <c r="M42" s="34"/>
    </row>
    <row r="43" spans="2:13" ht="12.75">
      <c r="B43" s="38" t="s">
        <v>54</v>
      </c>
      <c r="C43" s="39"/>
      <c r="D43" s="40">
        <f t="shared" si="3"/>
        <v>2</v>
      </c>
      <c r="E43" s="3" t="e">
        <f>$C$14*$C$4/4</f>
        <v>#REF!</v>
      </c>
      <c r="F43" s="39"/>
      <c r="G43" s="31" t="e">
        <f>E43*$C$2/3/$C$8</f>
        <v>#REF!</v>
      </c>
      <c r="H43" s="52" t="e">
        <f>E43*$C$2/2</f>
        <v>#REF!</v>
      </c>
      <c r="I43" s="47" t="e">
        <f t="shared" si="6"/>
        <v>#REF!</v>
      </c>
      <c r="J43" s="43" t="e">
        <f t="shared" si="7"/>
        <v>#REF!</v>
      </c>
      <c r="K43" s="44"/>
      <c r="L43" s="42"/>
      <c r="M43" s="34"/>
    </row>
    <row r="44" spans="1:13" ht="12.75">
      <c r="A44" t="s">
        <v>47</v>
      </c>
      <c r="B44" s="29" t="s">
        <v>55</v>
      </c>
      <c r="C44" s="5"/>
      <c r="D44" s="40">
        <f t="shared" si="3"/>
        <v>2</v>
      </c>
      <c r="E44" s="3" t="e">
        <f>$C$15*$C$4/5</f>
        <v>#REF!</v>
      </c>
      <c r="F44" s="5">
        <f>10/D44</f>
        <v>5</v>
      </c>
      <c r="G44" s="31" t="e">
        <f>E44*F44/60</f>
        <v>#REF!</v>
      </c>
      <c r="H44" s="32">
        <v>0</v>
      </c>
      <c r="I44" s="47" t="e">
        <f t="shared" si="6"/>
        <v>#REF!</v>
      </c>
      <c r="J44" s="34">
        <f t="shared" si="7"/>
        <v>0</v>
      </c>
      <c r="K44" s="35"/>
      <c r="L44" s="33"/>
      <c r="M44" s="34"/>
    </row>
    <row r="45" spans="2:13" ht="12.75">
      <c r="B45" s="29" t="s">
        <v>56</v>
      </c>
      <c r="C45" s="5"/>
      <c r="D45" s="40">
        <f t="shared" si="3"/>
        <v>2</v>
      </c>
      <c r="E45" s="3" t="e">
        <f>$C$15*$C$4/5</f>
        <v>#REF!</v>
      </c>
      <c r="F45" s="5"/>
      <c r="G45" s="31" t="e">
        <f>E45*$C$2/3/$C$8</f>
        <v>#REF!</v>
      </c>
      <c r="H45" s="51" t="e">
        <f>E45*$C$2/2</f>
        <v>#REF!</v>
      </c>
      <c r="I45" s="47" t="e">
        <f t="shared" si="6"/>
        <v>#REF!</v>
      </c>
      <c r="J45" s="34" t="e">
        <f t="shared" si="7"/>
        <v>#REF!</v>
      </c>
      <c r="K45" s="35"/>
      <c r="L45" s="33"/>
      <c r="M45" s="34"/>
    </row>
    <row r="46" spans="2:13" ht="12.75">
      <c r="B46" s="29" t="s">
        <v>50</v>
      </c>
      <c r="C46" s="5" t="s">
        <v>51</v>
      </c>
      <c r="D46" s="40">
        <f t="shared" si="3"/>
        <v>2</v>
      </c>
      <c r="E46" s="3" t="e">
        <f>$C$15*$C$4</f>
        <v>#REF!</v>
      </c>
      <c r="F46" s="5">
        <f>10/D46</f>
        <v>5</v>
      </c>
      <c r="G46" s="31" t="e">
        <f>E46*F46/60</f>
        <v>#REF!</v>
      </c>
      <c r="H46" s="32">
        <v>0</v>
      </c>
      <c r="I46" s="47" t="e">
        <f t="shared" si="6"/>
        <v>#REF!</v>
      </c>
      <c r="J46" s="34">
        <f t="shared" si="7"/>
        <v>0</v>
      </c>
      <c r="K46" s="35"/>
      <c r="L46" s="33"/>
      <c r="M46" s="34"/>
    </row>
    <row r="47" spans="2:13" ht="12.75">
      <c r="B47" s="29" t="s">
        <v>57</v>
      </c>
      <c r="C47" s="5"/>
      <c r="D47" s="40">
        <f t="shared" si="3"/>
        <v>2</v>
      </c>
      <c r="E47" s="3" t="e">
        <f>$C$15*$C$4</f>
        <v>#REF!</v>
      </c>
      <c r="F47" s="5">
        <f>180/D47</f>
        <v>90</v>
      </c>
      <c r="G47" s="31" t="e">
        <f>E47*F47/60</f>
        <v>#REF!</v>
      </c>
      <c r="H47" s="32">
        <v>0</v>
      </c>
      <c r="I47" s="47" t="e">
        <f t="shared" si="6"/>
        <v>#REF!</v>
      </c>
      <c r="J47" s="34">
        <f t="shared" si="7"/>
        <v>0</v>
      </c>
      <c r="K47" s="35"/>
      <c r="L47" s="33"/>
      <c r="M47" s="34"/>
    </row>
    <row r="48" spans="2:13" ht="12.75">
      <c r="B48" s="29" t="s">
        <v>53</v>
      </c>
      <c r="C48" s="5"/>
      <c r="D48" s="40">
        <f t="shared" si="3"/>
        <v>2</v>
      </c>
      <c r="E48" s="3" t="e">
        <f>$C$15*$C$4</f>
        <v>#REF!</v>
      </c>
      <c r="F48" s="5">
        <f>10/D48</f>
        <v>5</v>
      </c>
      <c r="G48" s="31" t="e">
        <f>E48*F48/60</f>
        <v>#REF!</v>
      </c>
      <c r="H48" s="32">
        <v>0</v>
      </c>
      <c r="I48" s="47" t="e">
        <f t="shared" si="6"/>
        <v>#REF!</v>
      </c>
      <c r="J48" s="34">
        <f t="shared" si="7"/>
        <v>0</v>
      </c>
      <c r="K48" s="35"/>
      <c r="L48" s="33"/>
      <c r="M48" s="34"/>
    </row>
    <row r="49" spans="2:13" ht="12.75">
      <c r="B49" s="38" t="s">
        <v>54</v>
      </c>
      <c r="C49" s="39"/>
      <c r="D49" s="40">
        <f t="shared" si="3"/>
        <v>2</v>
      </c>
      <c r="E49" s="3" t="e">
        <f>$C$15*$C$4/5</f>
        <v>#REF!</v>
      </c>
      <c r="F49" s="39"/>
      <c r="G49" s="31" t="e">
        <f>E49*$C$2/3/$C$8</f>
        <v>#REF!</v>
      </c>
      <c r="H49" s="52" t="e">
        <f>E49*$C$2/2</f>
        <v>#REF!</v>
      </c>
      <c r="I49" s="47" t="e">
        <f t="shared" si="6"/>
        <v>#REF!</v>
      </c>
      <c r="J49" s="43" t="e">
        <f t="shared" si="7"/>
        <v>#REF!</v>
      </c>
      <c r="K49" s="44"/>
      <c r="L49" s="42"/>
      <c r="M49" s="34"/>
    </row>
    <row r="50" spans="1:13" ht="12.75">
      <c r="A50" t="s">
        <v>47</v>
      </c>
      <c r="B50" s="29" t="s">
        <v>58</v>
      </c>
      <c r="C50" s="5"/>
      <c r="D50" s="40">
        <f t="shared" si="3"/>
        <v>2</v>
      </c>
      <c r="E50" s="3" t="e">
        <f>$C$15*$C$4/4</f>
        <v>#REF!</v>
      </c>
      <c r="F50" s="5">
        <f>10/D50</f>
        <v>5</v>
      </c>
      <c r="G50" s="31" t="e">
        <f>E50*F50/60</f>
        <v>#REF!</v>
      </c>
      <c r="H50" s="32">
        <v>0</v>
      </c>
      <c r="I50" s="47" t="e">
        <f t="shared" si="6"/>
        <v>#REF!</v>
      </c>
      <c r="J50" s="34">
        <f aca="true" t="shared" si="8" ref="J50:J56">H50</f>
        <v>0</v>
      </c>
      <c r="K50" s="35"/>
      <c r="L50" s="33"/>
      <c r="M50" s="34"/>
    </row>
    <row r="51" spans="2:13" ht="12.75">
      <c r="B51" s="29" t="s">
        <v>49</v>
      </c>
      <c r="C51" s="5"/>
      <c r="D51" s="40">
        <f t="shared" si="3"/>
        <v>2</v>
      </c>
      <c r="E51" s="3" t="e">
        <f>$C$15*$C$4/4</f>
        <v>#REF!</v>
      </c>
      <c r="F51" s="5"/>
      <c r="G51" s="31" t="e">
        <f>E51*$C$2/3/$C$8</f>
        <v>#REF!</v>
      </c>
      <c r="H51" s="51" t="e">
        <f>E51*$C$2/2</f>
        <v>#REF!</v>
      </c>
      <c r="I51" s="47" t="e">
        <f t="shared" si="6"/>
        <v>#REF!</v>
      </c>
      <c r="J51" s="34" t="e">
        <f t="shared" si="8"/>
        <v>#REF!</v>
      </c>
      <c r="K51" s="35"/>
      <c r="L51" s="33"/>
      <c r="M51" s="34"/>
    </row>
    <row r="52" spans="2:13" ht="12.75">
      <c r="B52" s="29" t="s">
        <v>50</v>
      </c>
      <c r="C52" s="5" t="s">
        <v>51</v>
      </c>
      <c r="D52" s="40">
        <f t="shared" si="3"/>
        <v>2</v>
      </c>
      <c r="E52" s="3" t="e">
        <f>$C$15*$C$4</f>
        <v>#REF!</v>
      </c>
      <c r="F52" s="5">
        <f>10/D52</f>
        <v>5</v>
      </c>
      <c r="G52" s="31" t="e">
        <f>E52*F52/60</f>
        <v>#REF!</v>
      </c>
      <c r="H52" s="32">
        <v>0</v>
      </c>
      <c r="I52" s="47" t="e">
        <f t="shared" si="6"/>
        <v>#REF!</v>
      </c>
      <c r="J52" s="34">
        <f t="shared" si="8"/>
        <v>0</v>
      </c>
      <c r="K52" s="35"/>
      <c r="L52" s="33"/>
      <c r="M52" s="34"/>
    </row>
    <row r="53" spans="2:13" ht="12.75">
      <c r="B53" s="29" t="s">
        <v>59</v>
      </c>
      <c r="C53" s="5"/>
      <c r="D53" s="40">
        <f t="shared" si="3"/>
        <v>2</v>
      </c>
      <c r="E53" s="3" t="e">
        <f>$C$15*$C$4</f>
        <v>#REF!</v>
      </c>
      <c r="F53" s="5">
        <f>120/D53</f>
        <v>60</v>
      </c>
      <c r="G53" s="31" t="e">
        <f>E53*F53/60</f>
        <v>#REF!</v>
      </c>
      <c r="H53" s="32">
        <v>0</v>
      </c>
      <c r="I53" s="47" t="e">
        <f t="shared" si="6"/>
        <v>#REF!</v>
      </c>
      <c r="J53" s="34">
        <f t="shared" si="8"/>
        <v>0</v>
      </c>
      <c r="K53" s="35"/>
      <c r="L53" s="33"/>
      <c r="M53" s="34"/>
    </row>
    <row r="54" spans="2:13" ht="12.75">
      <c r="B54" s="38" t="s">
        <v>53</v>
      </c>
      <c r="C54" s="39"/>
      <c r="D54" s="40">
        <f t="shared" si="3"/>
        <v>2</v>
      </c>
      <c r="E54" s="45" t="e">
        <f>$C$15*$C$4</f>
        <v>#REF!</v>
      </c>
      <c r="F54" s="39">
        <f>10/D54</f>
        <v>5</v>
      </c>
      <c r="G54" s="46" t="e">
        <f>E54*F54/60</f>
        <v>#REF!</v>
      </c>
      <c r="H54" s="41">
        <v>0</v>
      </c>
      <c r="I54" s="53" t="e">
        <f t="shared" si="6"/>
        <v>#REF!</v>
      </c>
      <c r="J54" s="43">
        <f t="shared" si="8"/>
        <v>0</v>
      </c>
      <c r="K54" s="35"/>
      <c r="L54" s="33"/>
      <c r="M54" s="34"/>
    </row>
    <row r="55" spans="2:13" ht="12.75">
      <c r="B55" s="38" t="s">
        <v>54</v>
      </c>
      <c r="C55" s="39"/>
      <c r="D55" s="40">
        <f t="shared" si="3"/>
        <v>2</v>
      </c>
      <c r="E55" s="3" t="e">
        <f>$C$15*$C$4/4</f>
        <v>#REF!</v>
      </c>
      <c r="F55" s="39"/>
      <c r="G55" s="31" t="e">
        <f>E55*$C$2/3/$C$8</f>
        <v>#REF!</v>
      </c>
      <c r="H55" s="52" t="e">
        <f>E55*$C$2/2</f>
        <v>#REF!</v>
      </c>
      <c r="I55" s="47" t="e">
        <f t="shared" si="6"/>
        <v>#REF!</v>
      </c>
      <c r="J55" s="43" t="e">
        <f t="shared" si="8"/>
        <v>#REF!</v>
      </c>
      <c r="K55" s="44"/>
      <c r="L55" s="42"/>
      <c r="M55" s="34"/>
    </row>
    <row r="56" spans="2:13" ht="12.75">
      <c r="B56" s="54" t="s">
        <v>60</v>
      </c>
      <c r="C56" s="55"/>
      <c r="D56" s="40">
        <f t="shared" si="3"/>
        <v>2</v>
      </c>
      <c r="E56" s="55"/>
      <c r="F56" s="55"/>
      <c r="G56" s="31">
        <f>$C$1/$C$7</f>
        <v>2.142857142857143</v>
      </c>
      <c r="H56" s="56">
        <f>$C$1</f>
        <v>150</v>
      </c>
      <c r="I56" s="57">
        <f t="shared" si="6"/>
        <v>4.285714285714286</v>
      </c>
      <c r="J56" s="58">
        <f t="shared" si="8"/>
        <v>150</v>
      </c>
      <c r="K56" s="59"/>
      <c r="L56" s="57"/>
      <c r="M56" s="34"/>
    </row>
    <row r="57" spans="2:13" ht="12.75">
      <c r="B57" s="54" t="s">
        <v>61</v>
      </c>
      <c r="C57" s="55"/>
      <c r="D57" s="60"/>
      <c r="E57" s="61" t="e">
        <f>IF((CEILING((SUM(G27:G56)+SUM(G20:G21))/7.5/5,1)-1),CEILING((SUM(G27:G56)+SUM(G20:G21))/7.5/5-1,1),0)</f>
        <v>#REF!</v>
      </c>
      <c r="F57" s="55"/>
      <c r="G57" s="62"/>
      <c r="H57" s="56"/>
      <c r="I57" s="57" t="e">
        <f>E57*G56*2</f>
        <v>#REF!</v>
      </c>
      <c r="J57" s="57" t="e">
        <f>E57*H56*2</f>
        <v>#REF!</v>
      </c>
      <c r="K57" s="57"/>
      <c r="L57" s="57"/>
      <c r="M57" s="34"/>
    </row>
    <row r="58" spans="2:13" ht="12.75">
      <c r="B58" s="29" t="s">
        <v>62</v>
      </c>
      <c r="C58" s="5"/>
      <c r="D58" s="30">
        <v>2</v>
      </c>
      <c r="E58" s="5">
        <v>1</v>
      </c>
      <c r="F58" s="5"/>
      <c r="G58" s="31">
        <f>E58*$C$1/$C$7</f>
        <v>2.142857142857143</v>
      </c>
      <c r="H58" s="32">
        <f>E58*$C$1</f>
        <v>150</v>
      </c>
      <c r="I58" s="33"/>
      <c r="J58" s="34"/>
      <c r="K58" s="35"/>
      <c r="L58" s="33">
        <f>D58*G58</f>
        <v>4.285714285714286</v>
      </c>
      <c r="M58" s="34">
        <f>H58</f>
        <v>150</v>
      </c>
    </row>
    <row r="59" spans="2:13" ht="12.75">
      <c r="B59" s="38" t="s">
        <v>63</v>
      </c>
      <c r="C59" s="39"/>
      <c r="D59" s="40">
        <f>D58</f>
        <v>2</v>
      </c>
      <c r="E59" s="45" t="e">
        <f>IF((D59-1),$C$4/(D59-1),$C$4)</f>
        <v>#REF!</v>
      </c>
      <c r="F59" s="5">
        <v>10</v>
      </c>
      <c r="G59" s="46" t="e">
        <f>$C$2*4*2/$C$8+E59*F59/60</f>
        <v>#REF!</v>
      </c>
      <c r="H59" s="50" t="e">
        <f>E59*$C$2/3</f>
        <v>#REF!</v>
      </c>
      <c r="I59" s="42"/>
      <c r="J59" s="43"/>
      <c r="K59" s="35"/>
      <c r="L59" s="33" t="e">
        <f>D59*G59</f>
        <v>#REF!</v>
      </c>
      <c r="M59" s="34" t="e">
        <f>IF((D59-1),H59*(D59-1),H59)</f>
        <v>#REF!</v>
      </c>
    </row>
    <row r="60" spans="2:13" ht="12.75">
      <c r="B60" s="29" t="s">
        <v>64</v>
      </c>
      <c r="C60" s="5"/>
      <c r="D60" s="40">
        <f>D59</f>
        <v>2</v>
      </c>
      <c r="E60" s="3">
        <v>1</v>
      </c>
      <c r="F60" s="5"/>
      <c r="G60" s="31">
        <f>E60*$C$1/$C$7</f>
        <v>2.142857142857143</v>
      </c>
      <c r="H60" s="32">
        <f>E60*$C$1</f>
        <v>150</v>
      </c>
      <c r="I60" s="47"/>
      <c r="J60" s="34"/>
      <c r="K60" s="35"/>
      <c r="L60" s="33">
        <f>D60*G60</f>
        <v>4.285714285714286</v>
      </c>
      <c r="M60" s="34">
        <f>H60</f>
        <v>150</v>
      </c>
    </row>
    <row r="61" spans="2:13" ht="12.75">
      <c r="B61" s="54" t="s">
        <v>65</v>
      </c>
      <c r="C61" s="55"/>
      <c r="D61" s="60"/>
      <c r="E61" s="61" t="e">
        <f>IF((CEILING(SUM(G58:G60)/7.5/5,1)-1),CEILING(SUM(G58:G60)/7.5/5,1)-1,0)</f>
        <v>#REF!</v>
      </c>
      <c r="F61" s="55"/>
      <c r="G61" s="62"/>
      <c r="H61" s="56"/>
      <c r="I61" s="57"/>
      <c r="J61" s="57"/>
      <c r="K61" s="57"/>
      <c r="L61" s="57" t="e">
        <f>E61*G60*2</f>
        <v>#REF!</v>
      </c>
      <c r="M61" s="34" t="e">
        <f>E61*H60*2</f>
        <v>#REF!</v>
      </c>
    </row>
    <row r="62" spans="2:13" ht="12.75">
      <c r="B62" s="29" t="s">
        <v>62</v>
      </c>
      <c r="C62" s="5"/>
      <c r="D62" s="36">
        <v>1</v>
      </c>
      <c r="E62" s="5">
        <v>1</v>
      </c>
      <c r="F62" s="5"/>
      <c r="G62" s="31">
        <f>E62*$C$1/$C$7</f>
        <v>2.142857142857143</v>
      </c>
      <c r="H62" s="32">
        <f>E62*$C$1</f>
        <v>150</v>
      </c>
      <c r="I62" s="33"/>
      <c r="J62" s="34"/>
      <c r="K62" s="35"/>
      <c r="L62" s="33">
        <f>D62*G62</f>
        <v>2.142857142857143</v>
      </c>
      <c r="M62" s="34">
        <f>H62</f>
        <v>150</v>
      </c>
    </row>
    <row r="63" spans="2:13" ht="12.75">
      <c r="B63" s="54" t="s">
        <v>66</v>
      </c>
      <c r="C63" s="55"/>
      <c r="D63" s="60">
        <v>1</v>
      </c>
      <c r="E63" s="45" t="e">
        <f>$C$4</f>
        <v>#REF!</v>
      </c>
      <c r="F63" s="55">
        <v>20</v>
      </c>
      <c r="G63" s="46" t="e">
        <f>$C$2*4*2/$C$8+E63*F63/60</f>
        <v>#REF!</v>
      </c>
      <c r="H63" s="50" t="e">
        <f>E63*$C$2/3</f>
        <v>#REF!</v>
      </c>
      <c r="I63" s="57"/>
      <c r="J63" s="58"/>
      <c r="K63" s="35"/>
      <c r="L63" s="33" t="e">
        <f>D63*G63</f>
        <v>#REF!</v>
      </c>
      <c r="M63" s="34" t="e">
        <f>H63</f>
        <v>#REF!</v>
      </c>
    </row>
    <row r="64" spans="2:13" ht="12.75">
      <c r="B64" s="54" t="s">
        <v>3</v>
      </c>
      <c r="C64" s="55"/>
      <c r="D64" s="60">
        <v>1</v>
      </c>
      <c r="E64" s="63">
        <v>1</v>
      </c>
      <c r="F64" s="55">
        <v>240</v>
      </c>
      <c r="G64" s="31">
        <f>E64*F64/60</f>
        <v>4</v>
      </c>
      <c r="H64" s="50"/>
      <c r="I64" s="57"/>
      <c r="J64" s="58"/>
      <c r="K64" s="35"/>
      <c r="L64" s="33">
        <f>D64*G64</f>
        <v>4</v>
      </c>
      <c r="M64" s="34">
        <f>H64</f>
        <v>0</v>
      </c>
    </row>
    <row r="65" spans="2:13" ht="12.75">
      <c r="B65" s="29" t="s">
        <v>64</v>
      </c>
      <c r="C65" s="5"/>
      <c r="D65" s="64">
        <v>1</v>
      </c>
      <c r="E65" s="3">
        <v>1</v>
      </c>
      <c r="F65" s="5"/>
      <c r="G65" s="31">
        <f>E65*$C$1/$C$7</f>
        <v>2.142857142857143</v>
      </c>
      <c r="H65" s="32">
        <f>E65*$C$1</f>
        <v>150</v>
      </c>
      <c r="I65" s="47"/>
      <c r="J65" s="34"/>
      <c r="K65" s="35"/>
      <c r="L65" s="33">
        <f>D65*G65</f>
        <v>2.142857142857143</v>
      </c>
      <c r="M65" s="34">
        <f>H65</f>
        <v>150</v>
      </c>
    </row>
    <row r="66" spans="2:13" ht="12.75">
      <c r="B66" s="54" t="s">
        <v>65</v>
      </c>
      <c r="C66" s="55"/>
      <c r="D66" s="60"/>
      <c r="E66" s="61" t="e">
        <f>IF((CEILING(SUM(G62:G65)/7.5/5,1)-1),CEILING(SUM(G62:G65)/7.5/5,1)-1,0)</f>
        <v>#REF!</v>
      </c>
      <c r="F66" s="55"/>
      <c r="G66" s="62"/>
      <c r="H66" s="56"/>
      <c r="I66" s="57"/>
      <c r="J66" s="57"/>
      <c r="K66" s="57"/>
      <c r="L66" s="57" t="e">
        <f>E66*G65*2</f>
        <v>#REF!</v>
      </c>
      <c r="M66" s="34" t="e">
        <f>E66*H65*2</f>
        <v>#REF!</v>
      </c>
    </row>
    <row r="67" spans="2:13" ht="12.75">
      <c r="B67" s="29" t="s">
        <v>67</v>
      </c>
      <c r="C67" s="5"/>
      <c r="D67" s="36">
        <v>2</v>
      </c>
      <c r="E67" s="5" t="e">
        <f>IF(E68,1,0)</f>
        <v>#REF!</v>
      </c>
      <c r="F67" s="5"/>
      <c r="G67" s="31" t="e">
        <f>E67*$C$1/$C$7</f>
        <v>#REF!</v>
      </c>
      <c r="H67" s="32" t="e">
        <f>E67*$C$1</f>
        <v>#REF!</v>
      </c>
      <c r="I67" s="33"/>
      <c r="J67" s="34"/>
      <c r="K67" s="35"/>
      <c r="L67" s="33" t="e">
        <f>D67*G67</f>
        <v>#REF!</v>
      </c>
      <c r="M67" s="34" t="e">
        <f>H67</f>
        <v>#REF!</v>
      </c>
    </row>
    <row r="68" spans="2:13" ht="12.75">
      <c r="B68" s="54" t="s">
        <v>68</v>
      </c>
      <c r="C68" s="55"/>
      <c r="D68" s="36">
        <v>2</v>
      </c>
      <c r="E68" s="45" t="e">
        <f>SUM(C12:C13)*0.15</f>
        <v>#REF!</v>
      </c>
      <c r="F68" s="55">
        <v>20</v>
      </c>
      <c r="G68" s="31" t="e">
        <f>E68*F68/60</f>
        <v>#REF!</v>
      </c>
      <c r="H68" s="50" t="e">
        <f>E68*$C$2/3</f>
        <v>#REF!</v>
      </c>
      <c r="I68" s="57"/>
      <c r="J68" s="58"/>
      <c r="K68" s="35"/>
      <c r="L68" s="33" t="e">
        <f>D68*G68</f>
        <v>#REF!</v>
      </c>
      <c r="M68" s="34" t="e">
        <f>H68</f>
        <v>#REF!</v>
      </c>
    </row>
    <row r="69" spans="2:13" ht="12.75">
      <c r="B69" s="29" t="s">
        <v>64</v>
      </c>
      <c r="C69" s="5"/>
      <c r="D69" s="36">
        <v>2</v>
      </c>
      <c r="E69" s="3" t="e">
        <f>IF(E68,1,0)</f>
        <v>#REF!</v>
      </c>
      <c r="F69" s="5"/>
      <c r="G69" s="31" t="e">
        <f>E69*$C$1/$C$7</f>
        <v>#REF!</v>
      </c>
      <c r="H69" s="32" t="e">
        <f>E69*$C$1</f>
        <v>#REF!</v>
      </c>
      <c r="I69" s="47"/>
      <c r="J69" s="34"/>
      <c r="K69" s="35"/>
      <c r="L69" s="33" t="e">
        <f>D69*G69</f>
        <v>#REF!</v>
      </c>
      <c r="M69" s="34" t="e">
        <f>H69</f>
        <v>#REF!</v>
      </c>
    </row>
    <row r="70" spans="2:13" ht="12.75">
      <c r="B70" s="54" t="s">
        <v>65</v>
      </c>
      <c r="C70" s="55"/>
      <c r="D70" s="60"/>
      <c r="E70" s="61" t="e">
        <f>IF((CEILING(SUM(G67:G69)/7.5/5,1)-1),CEILING(SUM(G67:G69)/7.5/5,1)-1,0)</f>
        <v>#REF!</v>
      </c>
      <c r="F70" s="55"/>
      <c r="G70" s="62"/>
      <c r="H70" s="56"/>
      <c r="I70" s="57"/>
      <c r="J70" s="57"/>
      <c r="K70" s="57"/>
      <c r="L70" s="57" t="e">
        <f>E70*G69*2</f>
        <v>#REF!</v>
      </c>
      <c r="M70" s="34" t="e">
        <f>E70*H69*2</f>
        <v>#REF!</v>
      </c>
    </row>
    <row r="71" spans="2:13" ht="12.75">
      <c r="B71" s="29" t="s">
        <v>69</v>
      </c>
      <c r="C71" s="5"/>
      <c r="D71" s="5"/>
      <c r="E71" s="5"/>
      <c r="F71" s="5"/>
      <c r="G71" s="5"/>
      <c r="H71" s="5"/>
      <c r="I71" s="35" t="e">
        <f>SUM(I20:I66)</f>
        <v>#REF!</v>
      </c>
      <c r="J71" s="34" t="e">
        <f>SUM(J20:J66)</f>
        <v>#REF!</v>
      </c>
      <c r="K71" s="35"/>
      <c r="L71" s="35" t="e">
        <f>SUM(L20:L66)</f>
        <v>#REF!</v>
      </c>
      <c r="M71" s="34" t="e">
        <f>SUM(M20:M66)</f>
        <v>#REF!</v>
      </c>
    </row>
    <row r="72" spans="2:13" ht="12.75">
      <c r="B72" s="29" t="s">
        <v>70</v>
      </c>
      <c r="C72" s="5"/>
      <c r="D72" s="5"/>
      <c r="E72" s="5"/>
      <c r="F72" s="5"/>
      <c r="G72" s="5"/>
      <c r="H72" s="5"/>
      <c r="I72" s="35" t="e">
        <f>CEILING(SUM(G20:G56)/7.5,1)</f>
        <v>#REF!</v>
      </c>
      <c r="J72" s="34"/>
      <c r="K72" s="35"/>
      <c r="L72" s="35" t="e">
        <f>CEILING((SUM(G58:G65)+SUM(G20:G26)+G28)/7.5,1)</f>
        <v>#REF!</v>
      </c>
      <c r="M72" s="34"/>
    </row>
    <row r="73" spans="2:13" ht="12.75">
      <c r="B73" s="29" t="s">
        <v>71</v>
      </c>
      <c r="C73" s="5"/>
      <c r="D73" s="5"/>
      <c r="E73" s="5"/>
      <c r="F73" s="5"/>
      <c r="G73" s="5"/>
      <c r="H73" s="5"/>
      <c r="I73" s="35" t="e">
        <f>I72/5</f>
        <v>#REF!</v>
      </c>
      <c r="J73" s="4"/>
      <c r="K73" s="3"/>
      <c r="L73" s="35" t="e">
        <f>L72/5</f>
        <v>#REF!</v>
      </c>
      <c r="M73" s="4"/>
    </row>
    <row r="74" spans="2:13" s="65" customFormat="1" ht="16">
      <c r="B74" s="66" t="s">
        <v>72</v>
      </c>
      <c r="C74" s="67"/>
      <c r="D74" s="67"/>
      <c r="E74" s="67"/>
      <c r="F74" s="67"/>
      <c r="G74" s="67"/>
      <c r="H74" s="67"/>
      <c r="I74" s="68" t="e">
        <f>CEILING(SUM(G20:G66)/7.5,1)</f>
        <v>#REF!</v>
      </c>
      <c r="J74" s="69"/>
      <c r="K74" s="70"/>
      <c r="L74" s="67"/>
      <c r="M74" s="69"/>
    </row>
  </sheetData>
  <mergeCells count="1">
    <mergeCell ref="I18:J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zoomScale="75" zoomScaleNormal="75" zoomScaleSheetLayoutView="75" zoomScalePageLayoutView="75" workbookViewId="0" topLeftCell="A1">
      <pane ySplit="3" topLeftCell="A76" activePane="bottomLeft" state="frozen"/>
      <selection pane="bottomLeft" activeCell="E32" sqref="E32"/>
    </sheetView>
  </sheetViews>
  <sheetFormatPr defaultColWidth="8.75390625" defaultRowHeight="12.75"/>
  <cols>
    <col min="1" max="1" width="4.00390625" style="71" customWidth="1"/>
    <col min="2" max="2" width="11.00390625" style="71" customWidth="1"/>
    <col min="3" max="3" width="3.875" style="72" customWidth="1"/>
    <col min="4" max="4" width="38.125" style="71" customWidth="1"/>
    <col min="5" max="5" width="4.625" style="73" customWidth="1"/>
    <col min="6" max="6" width="6.625" style="74" customWidth="1"/>
    <col min="7" max="7" width="10.75390625" style="75" customWidth="1"/>
    <col min="8" max="8" width="4.625" style="71" customWidth="1"/>
    <col min="9" max="9" width="6.875" style="74" customWidth="1"/>
    <col min="10" max="11" width="12.375" style="75" customWidth="1"/>
    <col min="12" max="16384" width="8.75390625" style="71" customWidth="1"/>
  </cols>
  <sheetData>
    <row r="1" spans="1:11" s="76" customFormat="1" ht="37.5" customHeight="1">
      <c r="A1" s="336" t="s">
        <v>73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s="78" customFormat="1" ht="12.75" customHeight="1">
      <c r="A2" s="77" t="s">
        <v>74</v>
      </c>
      <c r="D2" s="79">
        <v>37503</v>
      </c>
      <c r="E2" s="80"/>
      <c r="F2" s="81"/>
      <c r="I2" s="81"/>
      <c r="J2" s="82" t="s">
        <v>75</v>
      </c>
      <c r="K2" s="83">
        <v>0</v>
      </c>
    </row>
    <row r="3" spans="1:11" s="86" customFormat="1" ht="39" customHeight="1">
      <c r="A3" s="84" t="s">
        <v>76</v>
      </c>
      <c r="B3" s="337" t="s">
        <v>77</v>
      </c>
      <c r="C3" s="337"/>
      <c r="D3" s="84" t="s">
        <v>78</v>
      </c>
      <c r="E3" s="84" t="s">
        <v>79</v>
      </c>
      <c r="F3" s="84" t="s">
        <v>80</v>
      </c>
      <c r="G3" s="85" t="s">
        <v>81</v>
      </c>
      <c r="H3" s="84" t="s">
        <v>79</v>
      </c>
      <c r="I3" s="84" t="s">
        <v>80</v>
      </c>
      <c r="J3" s="85" t="s">
        <v>81</v>
      </c>
      <c r="K3" s="85" t="s">
        <v>82</v>
      </c>
    </row>
    <row r="4" spans="1:11" ht="12.75" customHeight="1">
      <c r="A4" s="87"/>
      <c r="B4" s="87"/>
      <c r="C4" s="87"/>
      <c r="D4" s="87"/>
      <c r="E4" s="87"/>
      <c r="F4" s="88"/>
      <c r="G4" s="89"/>
      <c r="H4" s="87"/>
      <c r="I4" s="88"/>
      <c r="J4" s="89"/>
      <c r="K4" s="89"/>
    </row>
    <row r="5" spans="1:11" s="76" customFormat="1" ht="12.75">
      <c r="A5" s="90" t="s">
        <v>83</v>
      </c>
      <c r="B5" s="91"/>
      <c r="C5" s="91"/>
      <c r="D5" s="92" t="s">
        <v>84</v>
      </c>
      <c r="E5" s="93"/>
      <c r="F5" s="94"/>
      <c r="G5" s="95"/>
      <c r="H5" s="93"/>
      <c r="I5" s="94"/>
      <c r="J5" s="95"/>
      <c r="K5" s="95"/>
    </row>
    <row r="6" spans="1:11" s="76" customFormat="1" ht="12.75">
      <c r="A6" s="90" t="s">
        <v>85</v>
      </c>
      <c r="B6" s="91"/>
      <c r="C6" s="91"/>
      <c r="D6" s="96" t="s">
        <v>86</v>
      </c>
      <c r="E6" s="93"/>
      <c r="F6" s="94"/>
      <c r="G6" s="95"/>
      <c r="H6" s="93"/>
      <c r="I6" s="94"/>
      <c r="J6" s="95"/>
      <c r="K6" s="95"/>
    </row>
    <row r="7" spans="1:11" s="76" customFormat="1" ht="12.75">
      <c r="A7" s="90" t="s">
        <v>87</v>
      </c>
      <c r="B7" s="91"/>
      <c r="C7" s="91"/>
      <c r="D7" s="97" t="s">
        <v>88</v>
      </c>
      <c r="E7" s="93"/>
      <c r="F7" s="94"/>
      <c r="G7" s="95"/>
      <c r="H7" s="93"/>
      <c r="I7" s="94"/>
      <c r="J7" s="95"/>
      <c r="K7" s="95"/>
    </row>
    <row r="8" spans="1:11" s="76" customFormat="1" ht="12.75">
      <c r="A8" s="90" t="s">
        <v>89</v>
      </c>
      <c r="B8" s="91"/>
      <c r="C8" s="91"/>
      <c r="D8" s="97" t="s">
        <v>88</v>
      </c>
      <c r="E8" s="93"/>
      <c r="F8" s="94"/>
      <c r="G8" s="95"/>
      <c r="H8" s="93"/>
      <c r="I8" s="94"/>
      <c r="J8" s="95"/>
      <c r="K8" s="95"/>
    </row>
    <row r="9" spans="1:11" s="76" customFormat="1" ht="12.75">
      <c r="A9" s="90" t="s">
        <v>90</v>
      </c>
      <c r="B9" s="91"/>
      <c r="C9" s="91"/>
      <c r="D9" s="96" t="s">
        <v>91</v>
      </c>
      <c r="E9" s="93"/>
      <c r="F9" s="94"/>
      <c r="G9" s="95"/>
      <c r="H9" s="93"/>
      <c r="I9" s="94"/>
      <c r="J9" s="95"/>
      <c r="K9" s="95"/>
    </row>
    <row r="10" spans="1:11" s="76" customFormat="1" ht="15" customHeight="1">
      <c r="A10" s="98"/>
      <c r="B10" s="91"/>
      <c r="C10" s="91"/>
      <c r="D10" s="99"/>
      <c r="E10" s="93"/>
      <c r="F10" s="94"/>
      <c r="G10" s="95"/>
      <c r="H10" s="93"/>
      <c r="I10" s="94"/>
      <c r="J10" s="95"/>
      <c r="K10" s="95"/>
    </row>
    <row r="11" spans="1:12" s="108" customFormat="1" ht="15" customHeight="1">
      <c r="A11" s="100" t="s">
        <v>92</v>
      </c>
      <c r="B11" s="101"/>
      <c r="C11" s="102"/>
      <c r="D11" s="103"/>
      <c r="E11" s="104"/>
      <c r="F11" s="105"/>
      <c r="G11" s="106"/>
      <c r="H11" s="104"/>
      <c r="I11" s="105"/>
      <c r="J11" s="106"/>
      <c r="K11" s="106"/>
      <c r="L11" s="107"/>
    </row>
    <row r="12" spans="1:12" s="108" customFormat="1" ht="15" customHeight="1">
      <c r="A12" s="109"/>
      <c r="B12" s="110"/>
      <c r="C12" s="111"/>
      <c r="D12" s="112"/>
      <c r="E12" s="113"/>
      <c r="F12" s="114"/>
      <c r="G12" s="115"/>
      <c r="H12" s="113"/>
      <c r="I12" s="114"/>
      <c r="J12" s="115"/>
      <c r="K12" s="115"/>
      <c r="L12" s="107"/>
    </row>
    <row r="13" spans="1:12" s="108" customFormat="1" ht="12.75">
      <c r="A13" s="116" t="s">
        <v>93</v>
      </c>
      <c r="B13" s="117"/>
      <c r="C13" s="111"/>
      <c r="D13" s="118"/>
      <c r="E13" s="119"/>
      <c r="F13" s="114"/>
      <c r="G13" s="115"/>
      <c r="H13" s="120"/>
      <c r="I13" s="114"/>
      <c r="J13" s="115"/>
      <c r="K13" s="115"/>
      <c r="L13" s="107"/>
    </row>
    <row r="14" spans="1:12" s="108" customFormat="1" ht="13" customHeight="1">
      <c r="A14" s="121">
        <v>1</v>
      </c>
      <c r="B14" s="335"/>
      <c r="C14" s="335"/>
      <c r="D14" s="123" t="s">
        <v>94</v>
      </c>
      <c r="E14" s="124" t="s">
        <v>27</v>
      </c>
      <c r="F14" s="125">
        <v>30</v>
      </c>
      <c r="G14" s="126">
        <v>203</v>
      </c>
      <c r="H14" s="122"/>
      <c r="I14" s="123" t="s">
        <v>95</v>
      </c>
      <c r="J14" s="127">
        <f>(G14*0.35)</f>
        <v>71.05</v>
      </c>
      <c r="K14" s="128">
        <f>(F14*G14)+(F14*J14)</f>
        <v>8221.5</v>
      </c>
      <c r="L14" s="107"/>
    </row>
    <row r="15" spans="1:12" s="108" customFormat="1" ht="12.75">
      <c r="A15" s="116" t="s">
        <v>96</v>
      </c>
      <c r="B15" s="117"/>
      <c r="C15" s="111"/>
      <c r="D15" s="118"/>
      <c r="E15" s="119"/>
      <c r="F15" s="129"/>
      <c r="G15" s="115"/>
      <c r="H15" s="120"/>
      <c r="I15" s="114"/>
      <c r="J15" s="115"/>
      <c r="K15" s="115"/>
      <c r="L15" s="107"/>
    </row>
    <row r="16" spans="1:12" s="108" customFormat="1" ht="13" customHeight="1">
      <c r="A16" s="121">
        <v>2</v>
      </c>
      <c r="B16" s="335"/>
      <c r="C16" s="335"/>
      <c r="D16" s="123" t="s">
        <v>97</v>
      </c>
      <c r="E16" s="124" t="s">
        <v>27</v>
      </c>
      <c r="F16" s="125">
        <v>0</v>
      </c>
      <c r="G16" s="127">
        <v>114.3</v>
      </c>
      <c r="H16" s="122"/>
      <c r="I16" s="123" t="s">
        <v>95</v>
      </c>
      <c r="J16" s="127">
        <f>(G16*0.35)</f>
        <v>40.004999999999995</v>
      </c>
      <c r="K16" s="128">
        <f>(F16*G16)+(F16*J16)</f>
        <v>0</v>
      </c>
      <c r="L16" s="107"/>
    </row>
    <row r="17" spans="1:12" s="108" customFormat="1" ht="12.75">
      <c r="A17" s="116" t="s">
        <v>98</v>
      </c>
      <c r="B17" s="110"/>
      <c r="C17" s="111"/>
      <c r="D17" s="112"/>
      <c r="E17" s="130"/>
      <c r="F17" s="131"/>
      <c r="G17" s="115"/>
      <c r="H17" s="113"/>
      <c r="I17" s="114"/>
      <c r="J17" s="115"/>
      <c r="K17" s="115"/>
      <c r="L17" s="107"/>
    </row>
    <row r="18" spans="1:12" s="108" customFormat="1" ht="13" customHeight="1">
      <c r="A18" s="121">
        <v>3</v>
      </c>
      <c r="B18" s="335"/>
      <c r="C18" s="335"/>
      <c r="D18" s="123" t="s">
        <v>99</v>
      </c>
      <c r="E18" s="124" t="s">
        <v>27</v>
      </c>
      <c r="F18" s="125" t="e">
        <f>'Doba instalace'!L71</f>
        <v>#REF!</v>
      </c>
      <c r="G18" s="132">
        <v>89</v>
      </c>
      <c r="H18" s="122"/>
      <c r="I18" s="123" t="s">
        <v>95</v>
      </c>
      <c r="J18" s="127">
        <f>(G18*0.35)</f>
        <v>31.15</v>
      </c>
      <c r="K18" s="128" t="e">
        <f>(F18*G18)+(F18*J18)</f>
        <v>#REF!</v>
      </c>
      <c r="L18" s="107"/>
    </row>
    <row r="19" spans="1:12" s="108" customFormat="1" ht="12.75">
      <c r="A19" s="116" t="s">
        <v>100</v>
      </c>
      <c r="B19" s="110"/>
      <c r="C19" s="111"/>
      <c r="D19" s="112"/>
      <c r="E19" s="130"/>
      <c r="F19" s="131"/>
      <c r="G19" s="115"/>
      <c r="H19" s="113"/>
      <c r="I19" s="114"/>
      <c r="J19" s="115"/>
      <c r="K19" s="115"/>
      <c r="L19" s="107"/>
    </row>
    <row r="20" spans="1:12" s="108" customFormat="1" ht="13" customHeight="1">
      <c r="A20" s="121"/>
      <c r="B20" s="335"/>
      <c r="C20" s="335"/>
      <c r="D20" s="123" t="s">
        <v>99</v>
      </c>
      <c r="E20" s="124" t="s">
        <v>27</v>
      </c>
      <c r="F20" s="125" t="e">
        <f>'Doba instalace'!I71</f>
        <v>#REF!</v>
      </c>
      <c r="G20" s="132">
        <v>127</v>
      </c>
      <c r="H20" s="122"/>
      <c r="I20" s="123" t="s">
        <v>95</v>
      </c>
      <c r="J20" s="127">
        <f>(G20*0.35)</f>
        <v>44.449999999999996</v>
      </c>
      <c r="K20" s="128" t="e">
        <f>(F20*G20)+(F20*J20)</f>
        <v>#REF!</v>
      </c>
      <c r="L20" s="107"/>
    </row>
    <row r="21" spans="1:12" s="108" customFormat="1" ht="13" customHeight="1">
      <c r="A21" s="119"/>
      <c r="B21" s="113"/>
      <c r="C21" s="113"/>
      <c r="D21" s="112"/>
      <c r="E21" s="133"/>
      <c r="F21" s="131"/>
      <c r="G21" s="134"/>
      <c r="H21" s="113"/>
      <c r="I21" s="112"/>
      <c r="J21" s="134"/>
      <c r="K21" s="115"/>
      <c r="L21" s="107"/>
    </row>
    <row r="22" spans="1:12" s="108" customFormat="1" ht="13" customHeight="1">
      <c r="A22" s="135" t="s">
        <v>101</v>
      </c>
      <c r="B22" s="136"/>
      <c r="C22" s="136"/>
      <c r="D22" s="137"/>
      <c r="E22" s="138"/>
      <c r="F22" s="139"/>
      <c r="G22" s="140"/>
      <c r="H22" s="136"/>
      <c r="I22" s="137"/>
      <c r="J22" s="140"/>
      <c r="K22" s="141" t="e">
        <f>SUM(K14:K20)</f>
        <v>#REF!</v>
      </c>
      <c r="L22" s="107"/>
    </row>
    <row r="23" spans="1:12" s="108" customFormat="1" ht="13" customHeight="1">
      <c r="A23" s="142"/>
      <c r="B23" s="113"/>
      <c r="C23" s="113"/>
      <c r="D23" s="112"/>
      <c r="E23" s="133"/>
      <c r="F23" s="131"/>
      <c r="G23" s="134"/>
      <c r="H23" s="113"/>
      <c r="I23" s="112"/>
      <c r="J23" s="134"/>
      <c r="K23" s="115"/>
      <c r="L23" s="107"/>
    </row>
    <row r="24" spans="1:12" s="108" customFormat="1" ht="12.75">
      <c r="A24" s="116" t="s">
        <v>102</v>
      </c>
      <c r="B24" s="117"/>
      <c r="C24" s="111"/>
      <c r="D24" s="118"/>
      <c r="E24" s="119"/>
      <c r="F24" s="114"/>
      <c r="G24" s="115"/>
      <c r="H24" s="120"/>
      <c r="I24" s="114"/>
      <c r="J24" s="115"/>
      <c r="K24" s="115"/>
      <c r="L24" s="107"/>
    </row>
    <row r="25" spans="1:12" s="108" customFormat="1" ht="13" customHeight="1">
      <c r="A25" s="121">
        <v>4</v>
      </c>
      <c r="B25" s="333" t="s">
        <v>103</v>
      </c>
      <c r="C25" s="333"/>
      <c r="D25" s="143" t="s">
        <v>104</v>
      </c>
      <c r="E25" s="122" t="s">
        <v>105</v>
      </c>
      <c r="F25" s="144">
        <v>0</v>
      </c>
      <c r="G25" s="127">
        <v>584</v>
      </c>
      <c r="H25" s="122" t="s">
        <v>26</v>
      </c>
      <c r="I25" s="144">
        <v>0</v>
      </c>
      <c r="J25" s="127">
        <v>1.95</v>
      </c>
      <c r="K25" s="128">
        <f aca="true" t="shared" si="0" ref="K25:K35">(F25*G25)+(I25*J25)</f>
        <v>0</v>
      </c>
      <c r="L25" s="107"/>
    </row>
    <row r="26" spans="1:12" s="108" customFormat="1" ht="12.75" customHeight="1">
      <c r="A26" s="121">
        <v>5</v>
      </c>
      <c r="B26" s="333" t="s">
        <v>106</v>
      </c>
      <c r="C26" s="333"/>
      <c r="D26" s="143" t="s">
        <v>107</v>
      </c>
      <c r="E26" s="122" t="s">
        <v>105</v>
      </c>
      <c r="F26" s="144">
        <v>0</v>
      </c>
      <c r="G26" s="127">
        <v>397</v>
      </c>
      <c r="H26" s="122" t="s">
        <v>26</v>
      </c>
      <c r="I26" s="144">
        <v>0</v>
      </c>
      <c r="J26" s="127">
        <v>1.3</v>
      </c>
      <c r="K26" s="128">
        <f t="shared" si="0"/>
        <v>0</v>
      </c>
      <c r="L26" s="107"/>
    </row>
    <row r="27" spans="1:12" s="108" customFormat="1" ht="13" customHeight="1">
      <c r="A27" s="121">
        <v>6</v>
      </c>
      <c r="B27" s="333" t="s">
        <v>108</v>
      </c>
      <c r="C27" s="333"/>
      <c r="D27" s="143" t="s">
        <v>109</v>
      </c>
      <c r="E27" s="122" t="s">
        <v>105</v>
      </c>
      <c r="F27" s="144">
        <v>0</v>
      </c>
      <c r="G27" s="127">
        <v>281</v>
      </c>
      <c r="H27" s="122" t="s">
        <v>26</v>
      </c>
      <c r="I27" s="144">
        <v>0</v>
      </c>
      <c r="J27" s="127">
        <v>2.5</v>
      </c>
      <c r="K27" s="128">
        <f t="shared" si="0"/>
        <v>0</v>
      </c>
      <c r="L27" s="107"/>
    </row>
    <row r="28" spans="1:12" s="108" customFormat="1" ht="12.75" customHeight="1">
      <c r="A28" s="121">
        <v>7</v>
      </c>
      <c r="B28" s="145" t="s">
        <v>110</v>
      </c>
      <c r="C28" s="146"/>
      <c r="D28" s="147" t="s">
        <v>111</v>
      </c>
      <c r="E28" s="122" t="s">
        <v>105</v>
      </c>
      <c r="F28" s="144">
        <v>0</v>
      </c>
      <c r="G28" s="127">
        <v>203</v>
      </c>
      <c r="H28" s="122" t="s">
        <v>26</v>
      </c>
      <c r="I28" s="144">
        <v>0</v>
      </c>
      <c r="J28" s="127">
        <v>2.55</v>
      </c>
      <c r="K28" s="128">
        <f t="shared" si="0"/>
        <v>0</v>
      </c>
      <c r="L28" s="107"/>
    </row>
    <row r="29" spans="1:12" s="108" customFormat="1" ht="12.75" customHeight="1">
      <c r="A29" s="121">
        <v>8</v>
      </c>
      <c r="B29" s="145" t="s">
        <v>112</v>
      </c>
      <c r="C29" s="146"/>
      <c r="D29" s="147" t="s">
        <v>113</v>
      </c>
      <c r="E29" s="122" t="s">
        <v>105</v>
      </c>
      <c r="F29" s="144">
        <v>0</v>
      </c>
      <c r="G29" s="127">
        <v>130</v>
      </c>
      <c r="H29" s="122" t="s">
        <v>26</v>
      </c>
      <c r="I29" s="144">
        <v>0</v>
      </c>
      <c r="J29" s="127">
        <v>1.75</v>
      </c>
      <c r="K29" s="128">
        <f t="shared" si="0"/>
        <v>0</v>
      </c>
      <c r="L29" s="107"/>
    </row>
    <row r="30" spans="1:12" s="108" customFormat="1" ht="12.75" customHeight="1">
      <c r="A30" s="121">
        <v>9</v>
      </c>
      <c r="B30" s="334" t="s">
        <v>114</v>
      </c>
      <c r="C30" s="334"/>
      <c r="D30" s="147" t="s">
        <v>115</v>
      </c>
      <c r="E30" s="122" t="s">
        <v>105</v>
      </c>
      <c r="F30" s="144">
        <v>0</v>
      </c>
      <c r="G30" s="127">
        <v>130</v>
      </c>
      <c r="H30" s="122" t="s">
        <v>26</v>
      </c>
      <c r="I30" s="144">
        <v>0</v>
      </c>
      <c r="J30" s="127">
        <v>1.75</v>
      </c>
      <c r="K30" s="128">
        <f t="shared" si="0"/>
        <v>0</v>
      </c>
      <c r="L30" s="107"/>
    </row>
    <row r="31" spans="1:12" s="108" customFormat="1" ht="12.75" customHeight="1">
      <c r="A31" s="121">
        <v>10</v>
      </c>
      <c r="B31" s="145" t="s">
        <v>116</v>
      </c>
      <c r="C31" s="146"/>
      <c r="D31" s="147" t="s">
        <v>117</v>
      </c>
      <c r="E31" s="122" t="s">
        <v>105</v>
      </c>
      <c r="F31" s="144" t="e">
        <f>4+'Doba instalace'!I72</f>
        <v>#REF!</v>
      </c>
      <c r="G31" s="127">
        <v>215</v>
      </c>
      <c r="H31" s="122" t="s">
        <v>26</v>
      </c>
      <c r="I31" s="144" t="e">
        <f>400+'Doba instalace'!J71</f>
        <v>#REF!</v>
      </c>
      <c r="J31" s="127">
        <v>1.5</v>
      </c>
      <c r="K31" s="128" t="e">
        <f t="shared" si="0"/>
        <v>#REF!</v>
      </c>
      <c r="L31" s="107"/>
    </row>
    <row r="32" spans="1:12" s="108" customFormat="1" ht="12.75" customHeight="1">
      <c r="A32" s="121">
        <v>11</v>
      </c>
      <c r="B32" s="145" t="s">
        <v>118</v>
      </c>
      <c r="C32" s="146"/>
      <c r="D32" s="147" t="s">
        <v>119</v>
      </c>
      <c r="E32" s="122" t="s">
        <v>105</v>
      </c>
      <c r="F32" s="144" t="e">
        <f>'Doba instalace'!L72</f>
        <v>#REF!</v>
      </c>
      <c r="G32" s="127">
        <v>397</v>
      </c>
      <c r="H32" s="122" t="s">
        <v>26</v>
      </c>
      <c r="I32" s="144" t="e">
        <f>'Doba instalace'!M71</f>
        <v>#REF!</v>
      </c>
      <c r="J32" s="127">
        <v>1.3</v>
      </c>
      <c r="K32" s="128" t="e">
        <f t="shared" si="0"/>
        <v>#REF!</v>
      </c>
      <c r="L32" s="107"/>
    </row>
    <row r="33" spans="1:12" s="108" customFormat="1" ht="12.75" customHeight="1">
      <c r="A33" s="121">
        <v>12</v>
      </c>
      <c r="B33" s="145" t="s">
        <v>120</v>
      </c>
      <c r="C33" s="146"/>
      <c r="D33" s="147" t="s">
        <v>121</v>
      </c>
      <c r="E33" s="122" t="s">
        <v>105</v>
      </c>
      <c r="F33" s="144">
        <v>0</v>
      </c>
      <c r="G33" s="127">
        <v>130</v>
      </c>
      <c r="H33" s="122" t="s">
        <v>26</v>
      </c>
      <c r="I33" s="144">
        <v>0</v>
      </c>
      <c r="J33" s="127">
        <v>1.75</v>
      </c>
      <c r="K33" s="128">
        <f t="shared" si="0"/>
        <v>0</v>
      </c>
      <c r="L33" s="107"/>
    </row>
    <row r="34" spans="1:12" s="108" customFormat="1" ht="12.75" customHeight="1">
      <c r="A34" s="121">
        <v>13</v>
      </c>
      <c r="B34" s="334" t="s">
        <v>122</v>
      </c>
      <c r="C34" s="334"/>
      <c r="D34" s="147" t="s">
        <v>123</v>
      </c>
      <c r="E34" s="122" t="s">
        <v>105</v>
      </c>
      <c r="F34" s="144">
        <v>0</v>
      </c>
      <c r="G34" s="127">
        <v>449</v>
      </c>
      <c r="H34" s="122" t="s">
        <v>26</v>
      </c>
      <c r="I34" s="144">
        <v>0</v>
      </c>
      <c r="J34" s="127">
        <v>1.05</v>
      </c>
      <c r="K34" s="128">
        <f t="shared" si="0"/>
        <v>0</v>
      </c>
      <c r="L34" s="107"/>
    </row>
    <row r="35" spans="1:12" s="108" customFormat="1" ht="12.75" customHeight="1">
      <c r="A35" s="121">
        <v>14</v>
      </c>
      <c r="B35" s="334" t="s">
        <v>124</v>
      </c>
      <c r="C35" s="334"/>
      <c r="D35" s="147" t="s">
        <v>125</v>
      </c>
      <c r="E35" s="122" t="s">
        <v>105</v>
      </c>
      <c r="F35" s="144">
        <v>0</v>
      </c>
      <c r="G35" s="127">
        <v>391</v>
      </c>
      <c r="H35" s="122" t="s">
        <v>26</v>
      </c>
      <c r="I35" s="144">
        <v>0</v>
      </c>
      <c r="J35" s="127">
        <v>2.3</v>
      </c>
      <c r="K35" s="128">
        <f t="shared" si="0"/>
        <v>0</v>
      </c>
      <c r="L35" s="107"/>
    </row>
    <row r="36" spans="1:12" s="108" customFormat="1" ht="12.75">
      <c r="A36" s="116" t="s">
        <v>126</v>
      </c>
      <c r="B36" s="117"/>
      <c r="C36" s="111"/>
      <c r="D36" s="118"/>
      <c r="E36" s="119"/>
      <c r="F36" s="114"/>
      <c r="G36" s="115"/>
      <c r="H36" s="120"/>
      <c r="I36" s="114"/>
      <c r="J36" s="115"/>
      <c r="K36" s="115"/>
      <c r="L36" s="107"/>
    </row>
    <row r="37" spans="1:12" s="108" customFormat="1" ht="13" customHeight="1">
      <c r="A37" s="121">
        <v>15</v>
      </c>
      <c r="B37" s="326" t="s">
        <v>127</v>
      </c>
      <c r="C37" s="326"/>
      <c r="D37" s="145" t="s">
        <v>128</v>
      </c>
      <c r="E37" s="122" t="s">
        <v>26</v>
      </c>
      <c r="F37" s="144">
        <v>0</v>
      </c>
      <c r="G37" s="127">
        <v>1.8</v>
      </c>
      <c r="H37" s="122" t="s">
        <v>26</v>
      </c>
      <c r="I37" s="123">
        <f>SUM(F37)</f>
        <v>0</v>
      </c>
      <c r="J37" s="127">
        <v>3.3</v>
      </c>
      <c r="K37" s="128">
        <f>F37*(G37+J37)</f>
        <v>0</v>
      </c>
      <c r="L37" s="107"/>
    </row>
    <row r="38" spans="1:12" s="108" customFormat="1" ht="13" customHeight="1">
      <c r="A38" s="121">
        <v>16</v>
      </c>
      <c r="B38" s="326" t="s">
        <v>127</v>
      </c>
      <c r="C38" s="326"/>
      <c r="D38" s="145" t="s">
        <v>129</v>
      </c>
      <c r="E38" s="122" t="s">
        <v>26</v>
      </c>
      <c r="F38" s="144">
        <v>0</v>
      </c>
      <c r="G38" s="127">
        <v>2.4</v>
      </c>
      <c r="H38" s="122" t="s">
        <v>26</v>
      </c>
      <c r="I38" s="123">
        <f>SUM(F38)</f>
        <v>0</v>
      </c>
      <c r="J38" s="127">
        <v>3.3</v>
      </c>
      <c r="K38" s="128">
        <f>F38*(G38+J38)</f>
        <v>0</v>
      </c>
      <c r="L38" s="107"/>
    </row>
    <row r="39" spans="1:12" s="108" customFormat="1" ht="13" customHeight="1">
      <c r="A39" s="121">
        <v>17</v>
      </c>
      <c r="B39" s="326" t="s">
        <v>127</v>
      </c>
      <c r="C39" s="326"/>
      <c r="D39" s="145" t="s">
        <v>130</v>
      </c>
      <c r="E39" s="122" t="s">
        <v>26</v>
      </c>
      <c r="F39" s="144">
        <v>0</v>
      </c>
      <c r="G39" s="127">
        <v>3</v>
      </c>
      <c r="H39" s="122" t="s">
        <v>26</v>
      </c>
      <c r="I39" s="123">
        <f>SUM(F39)</f>
        <v>0</v>
      </c>
      <c r="J39" s="127">
        <v>3.3</v>
      </c>
      <c r="K39" s="128">
        <f>F39*(G39+J39)</f>
        <v>0</v>
      </c>
      <c r="L39" s="107"/>
    </row>
    <row r="40" spans="1:12" s="108" customFormat="1" ht="13" customHeight="1">
      <c r="A40" s="119"/>
      <c r="B40" s="113"/>
      <c r="C40" s="113"/>
      <c r="D40" s="112"/>
      <c r="E40" s="133"/>
      <c r="F40" s="131"/>
      <c r="G40" s="134"/>
      <c r="H40" s="113"/>
      <c r="I40" s="112"/>
      <c r="J40" s="134"/>
      <c r="K40" s="115"/>
      <c r="L40" s="107"/>
    </row>
    <row r="41" spans="1:12" s="108" customFormat="1" ht="13" customHeight="1">
      <c r="A41" s="135" t="s">
        <v>131</v>
      </c>
      <c r="B41" s="136"/>
      <c r="C41" s="136"/>
      <c r="D41" s="137"/>
      <c r="E41" s="138"/>
      <c r="F41" s="139"/>
      <c r="G41" s="140"/>
      <c r="H41" s="136"/>
      <c r="I41" s="137"/>
      <c r="J41" s="140"/>
      <c r="K41" s="141" t="e">
        <f>SUM(K25:K39)</f>
        <v>#REF!</v>
      </c>
      <c r="L41" s="107"/>
    </row>
    <row r="42" spans="1:12" s="108" customFormat="1" ht="13" customHeight="1">
      <c r="A42" s="142"/>
      <c r="B42" s="113"/>
      <c r="C42" s="113"/>
      <c r="D42" s="112"/>
      <c r="E42" s="133"/>
      <c r="F42" s="131"/>
      <c r="G42" s="134"/>
      <c r="H42" s="113"/>
      <c r="I42" s="112"/>
      <c r="J42" s="134"/>
      <c r="K42" s="115"/>
      <c r="L42" s="107"/>
    </row>
    <row r="43" spans="1:12" s="108" customFormat="1" ht="12.75">
      <c r="A43" s="116" t="s">
        <v>132</v>
      </c>
      <c r="B43" s="117"/>
      <c r="C43" s="111"/>
      <c r="D43" s="118"/>
      <c r="E43" s="119"/>
      <c r="F43" s="114"/>
      <c r="G43" s="115"/>
      <c r="H43" s="120"/>
      <c r="I43" s="114"/>
      <c r="J43" s="115"/>
      <c r="K43" s="115"/>
      <c r="L43" s="107"/>
    </row>
    <row r="44" spans="1:12" s="108" customFormat="1" ht="13" customHeight="1">
      <c r="A44" s="121">
        <v>18</v>
      </c>
      <c r="B44" s="326" t="s">
        <v>127</v>
      </c>
      <c r="C44" s="326"/>
      <c r="D44" s="145" t="s">
        <v>133</v>
      </c>
      <c r="E44" s="122" t="s">
        <v>105</v>
      </c>
      <c r="F44" s="144">
        <v>1</v>
      </c>
      <c r="G44" s="127">
        <v>200</v>
      </c>
      <c r="H44" s="122" t="s">
        <v>134</v>
      </c>
      <c r="I44" s="144">
        <v>0</v>
      </c>
      <c r="J44" s="148"/>
      <c r="K44" s="128">
        <f>(F44*G44*I44)</f>
        <v>0</v>
      </c>
      <c r="L44" s="107"/>
    </row>
    <row r="45" spans="1:12" s="108" customFormat="1" ht="13" customHeight="1">
      <c r="A45" s="121">
        <v>19</v>
      </c>
      <c r="B45" s="326" t="s">
        <v>127</v>
      </c>
      <c r="C45" s="326"/>
      <c r="D45" s="145" t="s">
        <v>135</v>
      </c>
      <c r="E45" s="122" t="s">
        <v>105</v>
      </c>
      <c r="F45" s="144">
        <v>1</v>
      </c>
      <c r="G45" s="127">
        <v>300</v>
      </c>
      <c r="H45" s="122" t="s">
        <v>134</v>
      </c>
      <c r="I45" s="144">
        <v>0</v>
      </c>
      <c r="J45" s="148"/>
      <c r="K45" s="128">
        <f>(F45*G45*I45)</f>
        <v>0</v>
      </c>
      <c r="L45" s="107"/>
    </row>
    <row r="46" spans="1:12" s="108" customFormat="1" ht="13" customHeight="1">
      <c r="A46" s="121">
        <v>20</v>
      </c>
      <c r="B46" s="326" t="s">
        <v>127</v>
      </c>
      <c r="C46" s="326"/>
      <c r="D46" s="145" t="s">
        <v>136</v>
      </c>
      <c r="E46" s="122" t="s">
        <v>105</v>
      </c>
      <c r="F46" s="144">
        <v>1</v>
      </c>
      <c r="G46" s="127">
        <v>400</v>
      </c>
      <c r="H46" s="122" t="s">
        <v>134</v>
      </c>
      <c r="I46" s="144">
        <v>0</v>
      </c>
      <c r="J46" s="148"/>
      <c r="K46" s="128">
        <f>(F46*G46*I46)</f>
        <v>0</v>
      </c>
      <c r="L46" s="107"/>
    </row>
    <row r="47" spans="1:12" s="108" customFormat="1" ht="13" customHeight="1">
      <c r="A47" s="121">
        <v>21</v>
      </c>
      <c r="B47" s="326" t="s">
        <v>127</v>
      </c>
      <c r="C47" s="326"/>
      <c r="D47" s="145" t="s">
        <v>137</v>
      </c>
      <c r="E47" s="122" t="s">
        <v>105</v>
      </c>
      <c r="F47" s="144">
        <v>1</v>
      </c>
      <c r="G47" s="127">
        <v>600</v>
      </c>
      <c r="H47" s="122" t="s">
        <v>134</v>
      </c>
      <c r="I47" s="144">
        <v>0</v>
      </c>
      <c r="J47" s="148"/>
      <c r="K47" s="128">
        <f>(F47*G47*I47)</f>
        <v>0</v>
      </c>
      <c r="L47" s="107"/>
    </row>
    <row r="48" spans="1:12" s="108" customFormat="1" ht="12.75">
      <c r="A48" s="149" t="s">
        <v>138</v>
      </c>
      <c r="B48" s="117"/>
      <c r="C48" s="111"/>
      <c r="D48" s="118"/>
      <c r="E48" s="119"/>
      <c r="F48" s="114"/>
      <c r="G48" s="115"/>
      <c r="H48" s="120"/>
      <c r="I48" s="114"/>
      <c r="J48" s="115"/>
      <c r="K48" s="115"/>
      <c r="L48" s="107"/>
    </row>
    <row r="49" spans="1:12" s="108" customFormat="1" ht="13" customHeight="1">
      <c r="A49" s="121">
        <v>22</v>
      </c>
      <c r="B49" s="326" t="s">
        <v>127</v>
      </c>
      <c r="C49" s="326"/>
      <c r="D49" s="145" t="s">
        <v>139</v>
      </c>
      <c r="E49" s="122" t="s">
        <v>105</v>
      </c>
      <c r="F49" s="144">
        <v>1</v>
      </c>
      <c r="G49" s="128">
        <v>54</v>
      </c>
      <c r="H49" s="122" t="s">
        <v>134</v>
      </c>
      <c r="I49" s="144">
        <v>0</v>
      </c>
      <c r="J49" s="148"/>
      <c r="K49" s="128">
        <f>(F49*G49*I49)</f>
        <v>0</v>
      </c>
      <c r="L49" s="107"/>
    </row>
    <row r="50" spans="1:12" s="108" customFormat="1" ht="13" customHeight="1">
      <c r="A50" s="121">
        <v>23</v>
      </c>
      <c r="B50" s="329" t="s">
        <v>127</v>
      </c>
      <c r="C50" s="329"/>
      <c r="D50" s="145" t="s">
        <v>140</v>
      </c>
      <c r="E50" s="122" t="s">
        <v>105</v>
      </c>
      <c r="F50" s="144">
        <v>1</v>
      </c>
      <c r="G50" s="128">
        <v>83</v>
      </c>
      <c r="H50" s="122" t="s">
        <v>134</v>
      </c>
      <c r="I50" s="144">
        <v>0</v>
      </c>
      <c r="J50" s="148"/>
      <c r="K50" s="128">
        <f>(F50*G50*I50)</f>
        <v>0</v>
      </c>
      <c r="L50" s="107"/>
    </row>
    <row r="51" spans="1:12" s="108" customFormat="1" ht="13" customHeight="1">
      <c r="A51" s="150">
        <v>24</v>
      </c>
      <c r="B51" s="326" t="s">
        <v>127</v>
      </c>
      <c r="C51" s="326"/>
      <c r="D51" s="151" t="s">
        <v>141</v>
      </c>
      <c r="E51" s="152" t="s">
        <v>105</v>
      </c>
      <c r="F51" s="153">
        <v>1</v>
      </c>
      <c r="G51" s="154">
        <v>130</v>
      </c>
      <c r="H51" s="152" t="s">
        <v>134</v>
      </c>
      <c r="I51" s="153">
        <v>0</v>
      </c>
      <c r="J51" s="155"/>
      <c r="K51" s="154">
        <f>(F51*G51*I51)</f>
        <v>0</v>
      </c>
      <c r="L51" s="107"/>
    </row>
    <row r="52" spans="1:12" s="108" customFormat="1" ht="12.75">
      <c r="A52" s="116" t="s">
        <v>142</v>
      </c>
      <c r="B52" s="117"/>
      <c r="C52" s="111"/>
      <c r="D52" s="156" t="s">
        <v>143</v>
      </c>
      <c r="E52" s="331"/>
      <c r="F52" s="331"/>
      <c r="G52" s="331"/>
      <c r="H52" s="332"/>
      <c r="I52" s="332"/>
      <c r="J52" s="332"/>
      <c r="K52" s="158"/>
      <c r="L52" s="107"/>
    </row>
    <row r="53" spans="1:12" s="108" customFormat="1" ht="13" customHeight="1">
      <c r="A53" s="121">
        <v>25</v>
      </c>
      <c r="B53" s="326" t="s">
        <v>127</v>
      </c>
      <c r="C53" s="326"/>
      <c r="D53" s="145" t="s">
        <v>144</v>
      </c>
      <c r="E53" s="159" t="s">
        <v>105</v>
      </c>
      <c r="F53" s="160">
        <v>0</v>
      </c>
      <c r="G53" s="161">
        <v>194</v>
      </c>
      <c r="H53" s="162" t="s">
        <v>134</v>
      </c>
      <c r="I53" s="163">
        <v>0</v>
      </c>
      <c r="J53" s="164"/>
      <c r="K53" s="161">
        <f>(F53*G53*I53)</f>
        <v>0</v>
      </c>
      <c r="L53" s="107"/>
    </row>
    <row r="54" spans="1:12" s="108" customFormat="1" ht="13" customHeight="1">
      <c r="A54" s="121">
        <v>26</v>
      </c>
      <c r="B54" s="326" t="s">
        <v>127</v>
      </c>
      <c r="C54" s="326"/>
      <c r="D54" s="145" t="s">
        <v>145</v>
      </c>
      <c r="E54" s="122" t="s">
        <v>105</v>
      </c>
      <c r="F54" s="144" t="e">
        <f>CEILING(('Doba instalace'!I71+'Doba instalace'!L71)/7.5,1)</f>
        <v>#REF!</v>
      </c>
      <c r="G54" s="128">
        <v>204</v>
      </c>
      <c r="H54" s="121" t="s">
        <v>134</v>
      </c>
      <c r="I54" s="165">
        <v>1</v>
      </c>
      <c r="J54" s="166"/>
      <c r="K54" s="128" t="e">
        <f>(F54*G54*I54)</f>
        <v>#REF!</v>
      </c>
      <c r="L54" s="107"/>
    </row>
    <row r="55" spans="1:12" s="108" customFormat="1" ht="13" customHeight="1">
      <c r="A55" s="167">
        <v>27</v>
      </c>
      <c r="B55" s="329" t="s">
        <v>127</v>
      </c>
      <c r="C55" s="329"/>
      <c r="D55" s="145" t="s">
        <v>146</v>
      </c>
      <c r="E55" s="152" t="s">
        <v>105</v>
      </c>
      <c r="F55" s="153">
        <f>CEILING(F14/7.5,1)</f>
        <v>4</v>
      </c>
      <c r="G55" s="154">
        <v>201</v>
      </c>
      <c r="H55" s="121" t="s">
        <v>134</v>
      </c>
      <c r="I55" s="168">
        <v>1</v>
      </c>
      <c r="J55" s="169"/>
      <c r="K55" s="128">
        <f>(F55*G55*I55)</f>
        <v>804</v>
      </c>
      <c r="L55" s="107"/>
    </row>
    <row r="56" spans="1:12" s="108" customFormat="1" ht="13" customHeight="1">
      <c r="A56" s="150"/>
      <c r="B56" s="170"/>
      <c r="C56" s="171"/>
      <c r="D56" s="172" t="s">
        <v>147</v>
      </c>
      <c r="E56" s="173"/>
      <c r="F56" s="174"/>
      <c r="G56" s="175"/>
      <c r="H56" s="157"/>
      <c r="I56" s="176"/>
      <c r="J56" s="175"/>
      <c r="K56" s="158"/>
      <c r="L56" s="107"/>
    </row>
    <row r="57" spans="1:12" s="108" customFormat="1" ht="13" customHeight="1">
      <c r="A57" s="162">
        <v>28</v>
      </c>
      <c r="B57" s="330" t="s">
        <v>127</v>
      </c>
      <c r="C57" s="330"/>
      <c r="D57" s="145" t="s">
        <v>144</v>
      </c>
      <c r="E57" s="159" t="s">
        <v>105</v>
      </c>
      <c r="F57" s="160">
        <v>0</v>
      </c>
      <c r="G57" s="161">
        <v>161</v>
      </c>
      <c r="H57" s="121" t="s">
        <v>134</v>
      </c>
      <c r="I57" s="163">
        <v>0</v>
      </c>
      <c r="J57" s="164"/>
      <c r="K57" s="128">
        <f>(F57*G57*I57)</f>
        <v>0</v>
      </c>
      <c r="L57" s="107"/>
    </row>
    <row r="58" spans="1:12" s="108" customFormat="1" ht="13" customHeight="1">
      <c r="A58" s="121">
        <v>29</v>
      </c>
      <c r="B58" s="326" t="s">
        <v>127</v>
      </c>
      <c r="C58" s="326"/>
      <c r="D58" s="145" t="s">
        <v>145</v>
      </c>
      <c r="E58" s="122" t="s">
        <v>105</v>
      </c>
      <c r="F58" s="144">
        <v>0</v>
      </c>
      <c r="G58" s="128">
        <v>161</v>
      </c>
      <c r="H58" s="121" t="s">
        <v>134</v>
      </c>
      <c r="I58" s="165">
        <v>0</v>
      </c>
      <c r="J58" s="166"/>
      <c r="K58" s="128">
        <f>(F58*G58*I58)</f>
        <v>0</v>
      </c>
      <c r="L58" s="107"/>
    </row>
    <row r="59" spans="1:12" s="108" customFormat="1" ht="13" customHeight="1">
      <c r="A59" s="121">
        <v>30</v>
      </c>
      <c r="B59" s="326" t="s">
        <v>127</v>
      </c>
      <c r="C59" s="326"/>
      <c r="D59" s="145" t="s">
        <v>146</v>
      </c>
      <c r="E59" s="122" t="s">
        <v>105</v>
      </c>
      <c r="F59" s="144">
        <v>0</v>
      </c>
      <c r="G59" s="128">
        <v>172</v>
      </c>
      <c r="H59" s="121" t="s">
        <v>134</v>
      </c>
      <c r="I59" s="165">
        <v>0</v>
      </c>
      <c r="J59" s="166"/>
      <c r="K59" s="128">
        <f>(F59*G59*I59)</f>
        <v>0</v>
      </c>
      <c r="L59" s="107"/>
    </row>
    <row r="60" spans="1:12" s="108" customFormat="1" ht="13" customHeight="1">
      <c r="A60" s="119"/>
      <c r="B60" s="113"/>
      <c r="C60" s="113"/>
      <c r="D60" s="112"/>
      <c r="E60" s="133"/>
      <c r="F60" s="131"/>
      <c r="G60" s="115"/>
      <c r="H60" s="119"/>
      <c r="I60" s="177"/>
      <c r="J60" s="115"/>
      <c r="K60" s="115"/>
      <c r="L60" s="107"/>
    </row>
    <row r="61" spans="1:12" s="108" customFormat="1" ht="13" customHeight="1">
      <c r="A61" s="135" t="s">
        <v>148</v>
      </c>
      <c r="B61" s="136"/>
      <c r="C61" s="136"/>
      <c r="D61" s="137"/>
      <c r="E61" s="138"/>
      <c r="F61" s="139"/>
      <c r="G61" s="140"/>
      <c r="H61" s="136"/>
      <c r="I61" s="137"/>
      <c r="J61" s="140"/>
      <c r="K61" s="141" t="e">
        <f>SUM(K44:K59)</f>
        <v>#REF!</v>
      </c>
      <c r="L61" s="107"/>
    </row>
    <row r="62" spans="1:12" s="108" customFormat="1" ht="13" customHeight="1">
      <c r="A62" s="142"/>
      <c r="B62" s="113"/>
      <c r="C62" s="113"/>
      <c r="D62" s="112"/>
      <c r="E62" s="133"/>
      <c r="F62" s="131"/>
      <c r="G62" s="134"/>
      <c r="H62" s="113"/>
      <c r="I62" s="112"/>
      <c r="J62" s="134"/>
      <c r="K62" s="178"/>
      <c r="L62" s="107"/>
    </row>
    <row r="63" spans="1:12" s="108" customFormat="1" ht="12.75">
      <c r="A63" s="116" t="s">
        <v>149</v>
      </c>
      <c r="B63" s="117"/>
      <c r="C63" s="111"/>
      <c r="D63" s="118"/>
      <c r="E63" s="119"/>
      <c r="F63" s="114"/>
      <c r="G63" s="115"/>
      <c r="H63" s="120"/>
      <c r="I63" s="114"/>
      <c r="J63" s="115"/>
      <c r="K63" s="178"/>
      <c r="L63" s="107"/>
    </row>
    <row r="64" spans="1:12" s="108" customFormat="1" ht="13" customHeight="1">
      <c r="A64" s="121">
        <v>31</v>
      </c>
      <c r="B64" s="326" t="s">
        <v>127</v>
      </c>
      <c r="C64" s="326"/>
      <c r="D64" s="328" t="s">
        <v>150</v>
      </c>
      <c r="E64" s="328"/>
      <c r="F64" s="328"/>
      <c r="G64" s="328"/>
      <c r="H64" s="328"/>
      <c r="I64" s="328"/>
      <c r="J64" s="328"/>
      <c r="K64" s="179" t="e">
        <f>#REF!</f>
        <v>#REF!</v>
      </c>
      <c r="L64" s="107"/>
    </row>
    <row r="65" spans="1:12" s="108" customFormat="1" ht="13" customHeight="1">
      <c r="A65" s="121">
        <v>32</v>
      </c>
      <c r="B65" s="326" t="s">
        <v>127</v>
      </c>
      <c r="C65" s="326"/>
      <c r="D65" s="328" t="s">
        <v>151</v>
      </c>
      <c r="E65" s="328"/>
      <c r="F65" s="328"/>
      <c r="G65" s="328"/>
      <c r="H65" s="328"/>
      <c r="I65" s="328"/>
      <c r="J65" s="328"/>
      <c r="K65" s="179" t="e">
        <f>(#REF!-(SUM(#REF!)+SUM(#REF!)))*0.05</f>
        <v>#REF!</v>
      </c>
      <c r="L65" s="107"/>
    </row>
    <row r="66" spans="1:12" s="108" customFormat="1" ht="13" customHeight="1">
      <c r="A66" s="121">
        <v>33</v>
      </c>
      <c r="B66" s="326" t="s">
        <v>127</v>
      </c>
      <c r="C66" s="326"/>
      <c r="D66" s="328" t="s">
        <v>127</v>
      </c>
      <c r="E66" s="328"/>
      <c r="F66" s="328"/>
      <c r="G66" s="328"/>
      <c r="H66" s="328"/>
      <c r="I66" s="328"/>
      <c r="J66" s="328"/>
      <c r="K66" s="179">
        <v>0</v>
      </c>
      <c r="L66" s="107"/>
    </row>
    <row r="67" spans="1:12" s="108" customFormat="1" ht="13" customHeight="1">
      <c r="A67" s="121">
        <v>34</v>
      </c>
      <c r="B67" s="326" t="s">
        <v>127</v>
      </c>
      <c r="C67" s="326"/>
      <c r="D67" s="328" t="s">
        <v>127</v>
      </c>
      <c r="E67" s="328"/>
      <c r="F67" s="328"/>
      <c r="G67" s="328"/>
      <c r="H67" s="328"/>
      <c r="I67" s="328"/>
      <c r="J67" s="328"/>
      <c r="K67" s="179">
        <v>0</v>
      </c>
      <c r="L67" s="107"/>
    </row>
    <row r="68" spans="1:12" s="108" customFormat="1" ht="13" customHeight="1">
      <c r="A68" s="121">
        <v>35</v>
      </c>
      <c r="B68" s="326" t="s">
        <v>127</v>
      </c>
      <c r="C68" s="326"/>
      <c r="D68" s="328" t="s">
        <v>127</v>
      </c>
      <c r="E68" s="328"/>
      <c r="F68" s="328"/>
      <c r="G68" s="328"/>
      <c r="H68" s="328"/>
      <c r="I68" s="328"/>
      <c r="J68" s="328"/>
      <c r="K68" s="179">
        <v>0</v>
      </c>
      <c r="L68" s="107"/>
    </row>
    <row r="69" spans="1:12" s="108" customFormat="1" ht="13" customHeight="1">
      <c r="A69" s="121">
        <v>36</v>
      </c>
      <c r="B69" s="326" t="s">
        <v>127</v>
      </c>
      <c r="C69" s="326"/>
      <c r="D69" s="328" t="s">
        <v>127</v>
      </c>
      <c r="E69" s="328"/>
      <c r="F69" s="328"/>
      <c r="G69" s="328"/>
      <c r="H69" s="328"/>
      <c r="I69" s="328"/>
      <c r="J69" s="328"/>
      <c r="K69" s="179">
        <v>0</v>
      </c>
      <c r="L69" s="107"/>
    </row>
    <row r="70" spans="1:12" s="108" customFormat="1" ht="13" customHeight="1">
      <c r="A70" s="121">
        <v>37</v>
      </c>
      <c r="B70" s="326" t="s">
        <v>127</v>
      </c>
      <c r="C70" s="326"/>
      <c r="D70" s="328" t="s">
        <v>127</v>
      </c>
      <c r="E70" s="328"/>
      <c r="F70" s="328"/>
      <c r="G70" s="328"/>
      <c r="H70" s="328"/>
      <c r="I70" s="328"/>
      <c r="J70" s="328"/>
      <c r="K70" s="179">
        <v>0</v>
      </c>
      <c r="L70" s="107"/>
    </row>
    <row r="71" spans="1:12" s="108" customFormat="1" ht="13" customHeight="1">
      <c r="A71" s="121">
        <v>38</v>
      </c>
      <c r="B71" s="326" t="s">
        <v>127</v>
      </c>
      <c r="C71" s="326"/>
      <c r="D71" s="328" t="s">
        <v>127</v>
      </c>
      <c r="E71" s="328"/>
      <c r="F71" s="328"/>
      <c r="G71" s="328"/>
      <c r="H71" s="328"/>
      <c r="I71" s="328"/>
      <c r="J71" s="328"/>
      <c r="K71" s="179">
        <v>0</v>
      </c>
      <c r="L71" s="107"/>
    </row>
    <row r="72" spans="1:12" s="108" customFormat="1" ht="13" customHeight="1">
      <c r="A72" s="121">
        <v>39</v>
      </c>
      <c r="B72" s="326" t="s">
        <v>127</v>
      </c>
      <c r="C72" s="326"/>
      <c r="D72" s="328" t="s">
        <v>127</v>
      </c>
      <c r="E72" s="328"/>
      <c r="F72" s="328"/>
      <c r="G72" s="328"/>
      <c r="H72" s="328"/>
      <c r="I72" s="328"/>
      <c r="J72" s="328"/>
      <c r="K72" s="179">
        <v>0</v>
      </c>
      <c r="L72" s="107"/>
    </row>
    <row r="73" spans="1:12" s="108" customFormat="1" ht="13" customHeight="1">
      <c r="A73" s="121">
        <v>40</v>
      </c>
      <c r="B73" s="326" t="s">
        <v>127</v>
      </c>
      <c r="C73" s="326"/>
      <c r="D73" s="328" t="s">
        <v>127</v>
      </c>
      <c r="E73" s="328"/>
      <c r="F73" s="328"/>
      <c r="G73" s="328"/>
      <c r="H73" s="328"/>
      <c r="I73" s="328"/>
      <c r="J73" s="328"/>
      <c r="K73" s="179">
        <v>0</v>
      </c>
      <c r="L73" s="107"/>
    </row>
    <row r="74" spans="1:12" s="108" customFormat="1" ht="13" customHeight="1">
      <c r="A74" s="121">
        <v>41</v>
      </c>
      <c r="B74" s="326" t="s">
        <v>127</v>
      </c>
      <c r="C74" s="326"/>
      <c r="D74" s="327" t="s">
        <v>152</v>
      </c>
      <c r="E74" s="327"/>
      <c r="F74" s="327"/>
      <c r="G74" s="327"/>
      <c r="H74" s="327"/>
      <c r="I74" s="327"/>
      <c r="J74" s="327"/>
      <c r="K74" s="179">
        <v>0</v>
      </c>
      <c r="L74" s="107"/>
    </row>
    <row r="75" spans="1:12" s="108" customFormat="1" ht="13" customHeight="1">
      <c r="A75" s="119"/>
      <c r="B75" s="113"/>
      <c r="C75" s="113"/>
      <c r="D75" s="112"/>
      <c r="E75" s="133"/>
      <c r="F75" s="131"/>
      <c r="G75" s="134"/>
      <c r="H75" s="113"/>
      <c r="I75" s="112"/>
      <c r="J75" s="134"/>
      <c r="K75" s="178"/>
      <c r="L75" s="107"/>
    </row>
    <row r="76" spans="1:12" s="108" customFormat="1" ht="13" customHeight="1">
      <c r="A76" s="135" t="s">
        <v>153</v>
      </c>
      <c r="B76" s="136"/>
      <c r="C76" s="136"/>
      <c r="D76" s="137"/>
      <c r="E76" s="138"/>
      <c r="F76" s="139"/>
      <c r="G76" s="140"/>
      <c r="H76" s="136"/>
      <c r="I76" s="137"/>
      <c r="J76" s="140"/>
      <c r="K76" s="141" t="e">
        <f>SUM(K64:K75)</f>
        <v>#REF!</v>
      </c>
      <c r="L76" s="107"/>
    </row>
    <row r="77" spans="1:12" s="108" customFormat="1" ht="13" customHeight="1">
      <c r="A77" s="142"/>
      <c r="B77" s="113"/>
      <c r="C77" s="113"/>
      <c r="D77" s="112"/>
      <c r="E77" s="133"/>
      <c r="F77" s="131"/>
      <c r="G77" s="134"/>
      <c r="H77" s="113"/>
      <c r="I77" s="112"/>
      <c r="J77" s="134"/>
      <c r="K77" s="115"/>
      <c r="L77" s="107"/>
    </row>
    <row r="78" spans="1:12" s="108" customFormat="1" ht="12.75">
      <c r="A78" s="116" t="s">
        <v>154</v>
      </c>
      <c r="B78" s="117"/>
      <c r="C78" s="111"/>
      <c r="D78" s="118"/>
      <c r="E78" s="323" t="s">
        <v>155</v>
      </c>
      <c r="F78" s="323"/>
      <c r="G78" s="323"/>
      <c r="H78" s="323" t="s">
        <v>156</v>
      </c>
      <c r="I78" s="323"/>
      <c r="J78" s="323"/>
      <c r="K78" s="115"/>
      <c r="L78" s="107"/>
    </row>
    <row r="79" spans="1:12" s="108" customFormat="1" ht="13" customHeight="1">
      <c r="A79" s="121">
        <v>42</v>
      </c>
      <c r="B79" s="321"/>
      <c r="C79" s="321"/>
      <c r="D79" s="181" t="s">
        <v>157</v>
      </c>
      <c r="E79" s="180"/>
      <c r="F79" s="180"/>
      <c r="G79" s="179" t="e">
        <f>#REF!</f>
        <v>#REF!</v>
      </c>
      <c r="H79" s="180"/>
      <c r="I79" s="180"/>
      <c r="J79" s="179" t="e">
        <f>SUM(#REF!)</f>
        <v>#REF!</v>
      </c>
      <c r="K79" s="182" t="e">
        <f>SUM(G79,J79)</f>
        <v>#REF!</v>
      </c>
      <c r="L79" s="107"/>
    </row>
    <row r="80" spans="1:12" s="108" customFormat="1" ht="13" customHeight="1">
      <c r="A80" s="121">
        <v>43</v>
      </c>
      <c r="B80" s="321"/>
      <c r="C80" s="321"/>
      <c r="D80" s="181" t="s">
        <v>158</v>
      </c>
      <c r="E80" s="180"/>
      <c r="F80" s="180"/>
      <c r="G80" s="179">
        <f>(B80*C80)+(E80*F80)</f>
        <v>0</v>
      </c>
      <c r="H80" s="180"/>
      <c r="I80" s="180"/>
      <c r="J80" s="179" t="e">
        <f>SUM(#REF!)+#REF!</f>
        <v>#REF!</v>
      </c>
      <c r="K80" s="182" t="e">
        <f>SUM(G80,J80)</f>
        <v>#REF!</v>
      </c>
      <c r="L80" s="107"/>
    </row>
    <row r="81" spans="1:12" s="108" customFormat="1" ht="13" customHeight="1">
      <c r="A81" s="121">
        <v>44</v>
      </c>
      <c r="B81" s="321"/>
      <c r="C81" s="321"/>
      <c r="D81" s="181" t="s">
        <v>159</v>
      </c>
      <c r="E81" s="180"/>
      <c r="F81" s="180"/>
      <c r="G81" s="179">
        <f>(B81*C81)+(E81*F81)</f>
        <v>0</v>
      </c>
      <c r="H81" s="180"/>
      <c r="I81" s="180"/>
      <c r="J81" s="179">
        <f>(E81*F81)+(H81*I81)</f>
        <v>0</v>
      </c>
      <c r="K81" s="182">
        <f>SUM(G81,J81)</f>
        <v>0</v>
      </c>
      <c r="L81" s="107"/>
    </row>
    <row r="82" spans="1:12" s="108" customFormat="1" ht="13" customHeight="1">
      <c r="A82" s="121">
        <v>45</v>
      </c>
      <c r="B82" s="321"/>
      <c r="C82" s="321"/>
      <c r="D82" s="181" t="s">
        <v>160</v>
      </c>
      <c r="E82" s="180"/>
      <c r="F82" s="180"/>
      <c r="G82" s="179">
        <f>(B82*C82)+(E82*F82)</f>
        <v>0</v>
      </c>
      <c r="H82" s="180"/>
      <c r="I82" s="180"/>
      <c r="J82" s="179" t="e">
        <f>#REF!</f>
        <v>#REF!</v>
      </c>
      <c r="K82" s="182" t="e">
        <f>SUM(G82,J82)</f>
        <v>#REF!</v>
      </c>
      <c r="L82" s="107"/>
    </row>
    <row r="83" spans="1:12" s="108" customFormat="1" ht="13" customHeight="1">
      <c r="A83" s="121">
        <v>46</v>
      </c>
      <c r="B83" s="321"/>
      <c r="C83" s="321"/>
      <c r="D83" s="181" t="s">
        <v>152</v>
      </c>
      <c r="E83" s="180"/>
      <c r="F83" s="180"/>
      <c r="G83" s="179">
        <f>(B83*C83)+(E83*F83)</f>
        <v>0</v>
      </c>
      <c r="H83" s="180"/>
      <c r="I83" s="180"/>
      <c r="J83" s="179" t="e">
        <f>SUM(#REF!)</f>
        <v>#REF!</v>
      </c>
      <c r="K83" s="182" t="e">
        <f>SUM(G83,J83)</f>
        <v>#REF!</v>
      </c>
      <c r="L83" s="107"/>
    </row>
    <row r="84" spans="1:12" s="108" customFormat="1" ht="13" customHeight="1">
      <c r="A84" s="119"/>
      <c r="B84" s="113"/>
      <c r="C84" s="113"/>
      <c r="D84" s="112"/>
      <c r="E84" s="133"/>
      <c r="F84" s="131"/>
      <c r="G84" s="134"/>
      <c r="H84" s="113"/>
      <c r="I84" s="112"/>
      <c r="J84" s="134"/>
      <c r="K84" s="115"/>
      <c r="L84" s="107"/>
    </row>
    <row r="85" spans="1:12" s="108" customFormat="1" ht="13" customHeight="1">
      <c r="A85" s="135" t="s">
        <v>161</v>
      </c>
      <c r="B85" s="136"/>
      <c r="C85" s="136"/>
      <c r="D85" s="137"/>
      <c r="E85" s="138"/>
      <c r="F85" s="139"/>
      <c r="G85" s="140"/>
      <c r="H85" s="136"/>
      <c r="I85" s="137"/>
      <c r="J85" s="140"/>
      <c r="K85" s="141" t="e">
        <f>SUM(K79:K84)</f>
        <v>#REF!</v>
      </c>
      <c r="L85" s="107"/>
    </row>
    <row r="86" spans="1:12" s="108" customFormat="1" ht="13" customHeight="1">
      <c r="A86" s="142"/>
      <c r="B86" s="113"/>
      <c r="C86" s="113"/>
      <c r="D86" s="112"/>
      <c r="E86" s="133"/>
      <c r="F86" s="131"/>
      <c r="G86" s="134"/>
      <c r="H86" s="113"/>
      <c r="I86" s="112"/>
      <c r="J86" s="134"/>
      <c r="K86" s="178"/>
      <c r="L86" s="107"/>
    </row>
    <row r="87" spans="1:12" s="108" customFormat="1" ht="12.75">
      <c r="A87" s="116" t="s">
        <v>162</v>
      </c>
      <c r="B87" s="117"/>
      <c r="C87" s="111"/>
      <c r="D87" s="118"/>
      <c r="E87" s="119"/>
      <c r="F87" s="114"/>
      <c r="G87" s="115"/>
      <c r="H87" s="120"/>
      <c r="I87" s="114"/>
      <c r="J87" s="115"/>
      <c r="K87" s="178"/>
      <c r="L87" s="107"/>
    </row>
    <row r="88" spans="1:12" s="108" customFormat="1" ht="13" customHeight="1">
      <c r="A88" s="121">
        <v>27</v>
      </c>
      <c r="B88" s="321"/>
      <c r="C88" s="321"/>
      <c r="D88" s="183" t="s">
        <v>163</v>
      </c>
      <c r="E88" s="184"/>
      <c r="F88" s="184"/>
      <c r="G88" s="184"/>
      <c r="H88" s="183" t="s">
        <v>164</v>
      </c>
      <c r="I88" s="185" t="s">
        <v>165</v>
      </c>
      <c r="J88" s="186">
        <f>850000-J89</f>
        <v>688000</v>
      </c>
      <c r="K88" s="127"/>
      <c r="L88" s="107"/>
    </row>
    <row r="89" spans="1:12" s="108" customFormat="1" ht="13" customHeight="1">
      <c r="A89" s="121">
        <v>27</v>
      </c>
      <c r="B89" s="321"/>
      <c r="C89" s="321"/>
      <c r="D89" s="183" t="s">
        <v>166</v>
      </c>
      <c r="E89" s="184"/>
      <c r="F89" s="184"/>
      <c r="G89" s="187" t="s">
        <v>167</v>
      </c>
      <c r="H89" s="183" t="s">
        <v>164</v>
      </c>
      <c r="I89" s="185" t="s">
        <v>165</v>
      </c>
      <c r="J89" s="188">
        <v>162000</v>
      </c>
      <c r="K89" s="127"/>
      <c r="L89" s="107"/>
    </row>
    <row r="90" spans="1:12" s="108" customFormat="1" ht="13" customHeight="1">
      <c r="A90" s="121">
        <v>27</v>
      </c>
      <c r="B90" s="321"/>
      <c r="C90" s="321"/>
      <c r="D90" s="183" t="s">
        <v>168</v>
      </c>
      <c r="E90" s="184"/>
      <c r="F90" s="184"/>
      <c r="G90" s="187"/>
      <c r="H90" s="183" t="s">
        <v>164</v>
      </c>
      <c r="I90" s="185" t="s">
        <v>165</v>
      </c>
      <c r="J90" s="189">
        <f>G14*175</f>
        <v>35525</v>
      </c>
      <c r="K90" s="127"/>
      <c r="L90" s="107"/>
    </row>
    <row r="91" spans="1:12" s="108" customFormat="1" ht="13" customHeight="1">
      <c r="A91" s="167">
        <v>28</v>
      </c>
      <c r="B91" s="324"/>
      <c r="C91" s="324"/>
      <c r="D91" s="190" t="s">
        <v>169</v>
      </c>
      <c r="E91" s="191"/>
      <c r="F91" s="191"/>
      <c r="G91" s="192" t="s">
        <v>167</v>
      </c>
      <c r="H91" s="183" t="s">
        <v>164</v>
      </c>
      <c r="I91" s="185" t="s">
        <v>165</v>
      </c>
      <c r="J91" s="193">
        <v>32000</v>
      </c>
      <c r="K91" s="194"/>
      <c r="L91" s="107"/>
    </row>
    <row r="92" spans="1:12" s="108" customFormat="1" ht="13" customHeight="1">
      <c r="A92" s="150"/>
      <c r="B92" s="195"/>
      <c r="C92" s="195"/>
      <c r="D92" s="184"/>
      <c r="E92" s="184"/>
      <c r="F92" s="184"/>
      <c r="G92" s="184"/>
      <c r="H92" s="184"/>
      <c r="I92" s="184"/>
      <c r="J92" s="196"/>
      <c r="K92" s="197"/>
      <c r="L92" s="107"/>
    </row>
    <row r="93" spans="1:12" s="108" customFormat="1" ht="13" customHeight="1">
      <c r="A93" s="162">
        <v>25</v>
      </c>
      <c r="B93" s="325"/>
      <c r="C93" s="325"/>
      <c r="D93" s="198" t="s">
        <v>170</v>
      </c>
      <c r="E93" s="199"/>
      <c r="F93" s="199"/>
      <c r="G93" s="199"/>
      <c r="H93" s="200"/>
      <c r="I93" s="201"/>
      <c r="J93" s="202"/>
      <c r="K93" s="203" t="e">
        <f>#REF!</f>
        <v>#REF!</v>
      </c>
      <c r="L93" s="107"/>
    </row>
    <row r="94" spans="1:12" s="108" customFormat="1" ht="13" customHeight="1">
      <c r="A94" s="121">
        <v>26</v>
      </c>
      <c r="B94" s="321"/>
      <c r="C94" s="321"/>
      <c r="D94" s="183" t="s">
        <v>171</v>
      </c>
      <c r="E94" s="184"/>
      <c r="F94" s="184"/>
      <c r="G94" s="184"/>
      <c r="H94" s="187"/>
      <c r="I94" s="184"/>
      <c r="J94" s="204"/>
      <c r="K94" s="205" t="e">
        <f>SUM(K22,K41,K61,K76,K85)</f>
        <v>#REF!</v>
      </c>
      <c r="L94" s="107"/>
    </row>
    <row r="95" spans="1:12" s="108" customFormat="1" ht="13" customHeight="1">
      <c r="A95" s="135" t="s">
        <v>172</v>
      </c>
      <c r="B95" s="136"/>
      <c r="C95" s="136"/>
      <c r="D95" s="137"/>
      <c r="E95" s="138"/>
      <c r="F95" s="139"/>
      <c r="G95" s="140"/>
      <c r="H95" s="173" t="s">
        <v>173</v>
      </c>
      <c r="I95" s="206" t="e">
        <f>K95/K93*100</f>
        <v>#REF!</v>
      </c>
      <c r="J95" s="140"/>
      <c r="K95" s="207" t="e">
        <f>K93-K94</f>
        <v>#REF!</v>
      </c>
      <c r="L95" s="107"/>
    </row>
    <row r="96" spans="1:12" s="108" customFormat="1" ht="13" customHeight="1">
      <c r="A96" s="121">
        <v>27</v>
      </c>
      <c r="B96" s="321"/>
      <c r="C96" s="321"/>
      <c r="D96" s="183" t="s">
        <v>174</v>
      </c>
      <c r="E96" s="184"/>
      <c r="F96" s="184"/>
      <c r="G96" s="184"/>
      <c r="H96" s="184"/>
      <c r="I96" s="184"/>
      <c r="J96" s="189"/>
      <c r="K96" s="208" t="e">
        <f>(J89+0.001)/J88*(F18*G18)</f>
        <v>#REF!</v>
      </c>
      <c r="L96" s="107"/>
    </row>
    <row r="97" spans="1:12" s="108" customFormat="1" ht="13" customHeight="1">
      <c r="A97" s="121">
        <v>27</v>
      </c>
      <c r="B97" s="321"/>
      <c r="C97" s="321"/>
      <c r="D97" s="183" t="s">
        <v>175</v>
      </c>
      <c r="E97" s="184"/>
      <c r="F97" s="184"/>
      <c r="G97" s="184"/>
      <c r="H97" s="184"/>
      <c r="I97" s="184"/>
      <c r="J97" s="189"/>
      <c r="K97" s="208">
        <f>((J91+0.001)/(J90+0.001)*(F14*G14))</f>
        <v>5485.714302724439</v>
      </c>
      <c r="L97" s="107"/>
    </row>
    <row r="98" spans="1:12" s="108" customFormat="1" ht="13" customHeight="1">
      <c r="A98" s="322" t="s">
        <v>176</v>
      </c>
      <c r="B98" s="322"/>
      <c r="C98" s="322"/>
      <c r="D98" s="322"/>
      <c r="E98" s="191"/>
      <c r="F98" s="191"/>
      <c r="G98" s="191"/>
      <c r="H98" s="191"/>
      <c r="I98" s="191"/>
      <c r="J98" s="209"/>
      <c r="K98" s="210" t="e">
        <f>SUM(K96:K97)</f>
        <v>#REF!</v>
      </c>
      <c r="L98" s="107"/>
    </row>
    <row r="99" spans="1:12" s="108" customFormat="1" ht="13" customHeight="1">
      <c r="A99" s="211" t="s">
        <v>177</v>
      </c>
      <c r="B99" s="212"/>
      <c r="C99" s="212"/>
      <c r="D99" s="213"/>
      <c r="E99" s="214"/>
      <c r="F99" s="215"/>
      <c r="G99" s="216"/>
      <c r="H99" s="217" t="s">
        <v>173</v>
      </c>
      <c r="I99" s="218" t="e">
        <f>K99/K93*100</f>
        <v>#REF!</v>
      </c>
      <c r="J99" s="216"/>
      <c r="K99" s="219" t="e">
        <f>K93-(K94+K98)</f>
        <v>#REF!</v>
      </c>
      <c r="L99" s="107"/>
    </row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  <row r="240" ht="13" customHeight="1"/>
    <row r="241" ht="13" customHeight="1"/>
    <row r="242" ht="13" customHeight="1"/>
    <row r="243" ht="13" customHeight="1"/>
    <row r="244" ht="13" customHeight="1"/>
    <row r="245" ht="13" customHeight="1"/>
    <row r="246" ht="13" customHeight="1"/>
    <row r="247" ht="13" customHeight="1"/>
    <row r="248" ht="13" customHeight="1"/>
    <row r="249" ht="13" customHeight="1"/>
    <row r="250" ht="13" customHeight="1"/>
    <row r="251" ht="13" customHeight="1"/>
    <row r="252" ht="13" customHeight="1"/>
    <row r="253" ht="13" customHeight="1"/>
    <row r="254" ht="13" customHeight="1"/>
    <row r="255" ht="13" customHeight="1"/>
    <row r="256" ht="13" customHeight="1"/>
    <row r="257" ht="13" customHeight="1"/>
    <row r="258" ht="13" customHeight="1"/>
    <row r="259" ht="13" customHeight="1"/>
    <row r="260" ht="13" customHeight="1"/>
    <row r="261" ht="13" customHeight="1"/>
    <row r="262" ht="13" customHeight="1"/>
    <row r="263" ht="13" customHeight="1"/>
    <row r="264" ht="13" customHeight="1"/>
    <row r="265" ht="13" customHeight="1"/>
    <row r="266" ht="13" customHeight="1"/>
    <row r="267" ht="13" customHeight="1"/>
    <row r="268" ht="13" customHeight="1"/>
    <row r="269" ht="13" customHeight="1"/>
    <row r="270" ht="13" customHeight="1"/>
    <row r="271" ht="13" customHeight="1"/>
    <row r="272" ht="13" customHeight="1"/>
    <row r="273" ht="13" customHeight="1"/>
    <row r="274" ht="13" customHeight="1"/>
    <row r="275" ht="13" customHeight="1"/>
    <row r="276" ht="13" customHeight="1"/>
    <row r="277" ht="13" customHeight="1"/>
    <row r="278" ht="13" customHeight="1"/>
    <row r="279" ht="13" customHeight="1"/>
    <row r="280" ht="13" customHeight="1"/>
    <row r="281" ht="13" customHeight="1"/>
    <row r="282" ht="13" customHeight="1"/>
    <row r="283" ht="13" customHeight="1"/>
    <row r="284" ht="13" customHeight="1"/>
    <row r="285" ht="13" customHeight="1"/>
    <row r="286" ht="13" customHeight="1"/>
    <row r="287" ht="13" customHeight="1"/>
    <row r="288" ht="13" customHeight="1"/>
    <row r="289" ht="13" customHeight="1"/>
    <row r="290" ht="13" customHeight="1"/>
    <row r="291" ht="13" customHeight="1"/>
    <row r="292" ht="13" customHeight="1"/>
    <row r="293" ht="13" customHeight="1"/>
    <row r="294" ht="13" customHeight="1"/>
    <row r="295" ht="13" customHeight="1"/>
    <row r="296" ht="13" customHeight="1"/>
    <row r="297" ht="13" customHeight="1"/>
    <row r="298" ht="13" customHeight="1"/>
    <row r="299" ht="13" customHeight="1"/>
    <row r="300" ht="13" customHeight="1"/>
    <row r="301" ht="13" customHeight="1"/>
    <row r="302" ht="13" customHeight="1"/>
    <row r="303" ht="13" customHeight="1"/>
    <row r="304" ht="13" customHeight="1"/>
    <row r="305" ht="13" customHeight="1"/>
    <row r="306" ht="13" customHeight="1"/>
    <row r="307" ht="13" customHeight="1"/>
    <row r="308" ht="13" customHeight="1"/>
    <row r="309" ht="13" customHeight="1"/>
    <row r="310" ht="13" customHeight="1"/>
    <row r="311" ht="13" customHeight="1"/>
    <row r="312" ht="13" customHeight="1"/>
    <row r="313" ht="13" customHeight="1"/>
    <row r="314" ht="13" customHeight="1"/>
    <row r="315" ht="13" customHeight="1"/>
    <row r="316" ht="13" customHeight="1"/>
    <row r="317" ht="13" customHeight="1"/>
    <row r="318" ht="13" customHeight="1"/>
    <row r="319" ht="13" customHeight="1"/>
    <row r="320" ht="13" customHeight="1"/>
    <row r="321" ht="13" customHeight="1"/>
    <row r="322" ht="13" customHeight="1"/>
    <row r="323" ht="13" customHeight="1"/>
    <row r="324" ht="13" customHeight="1"/>
    <row r="325" ht="13" customHeight="1"/>
    <row r="326" ht="13" customHeight="1"/>
    <row r="327" ht="13" customHeight="1"/>
    <row r="328" ht="13" customHeight="1"/>
    <row r="329" ht="13" customHeight="1"/>
    <row r="330" ht="13" customHeight="1"/>
    <row r="331" ht="13" customHeight="1"/>
    <row r="332" ht="13" customHeight="1"/>
    <row r="333" ht="13" customHeight="1"/>
    <row r="334" ht="13" customHeight="1"/>
    <row r="335" ht="13" customHeight="1"/>
    <row r="336" ht="13" customHeight="1"/>
    <row r="337" ht="13" customHeight="1"/>
    <row r="338" ht="13" customHeight="1"/>
    <row r="339" ht="13" customHeight="1"/>
    <row r="340" ht="13" customHeight="1"/>
    <row r="341" ht="13" customHeight="1"/>
    <row r="342" ht="13" customHeight="1"/>
    <row r="343" ht="13" customHeight="1"/>
    <row r="344" ht="13" customHeight="1"/>
    <row r="345" ht="13" customHeight="1"/>
    <row r="346" ht="13" customHeight="1"/>
    <row r="347" ht="13" customHeight="1"/>
    <row r="348" ht="13" customHeight="1"/>
    <row r="349" ht="13" customHeight="1"/>
    <row r="350" ht="13" customHeight="1"/>
    <row r="351" ht="13" customHeight="1"/>
    <row r="352" ht="13" customHeight="1"/>
    <row r="353" ht="13" customHeight="1"/>
    <row r="354" ht="13" customHeight="1"/>
    <row r="355" ht="13" customHeight="1"/>
    <row r="356" ht="13" customHeight="1"/>
    <row r="357" ht="13" customHeight="1"/>
    <row r="358" ht="13" customHeight="1"/>
    <row r="359" ht="13" customHeight="1"/>
    <row r="360" ht="13" customHeight="1"/>
    <row r="361" ht="13" customHeight="1"/>
    <row r="362" ht="13" customHeight="1"/>
    <row r="363" ht="13" customHeight="1"/>
    <row r="364" ht="13" customHeight="1"/>
    <row r="365" ht="13" customHeight="1"/>
    <row r="366" ht="13" customHeight="1"/>
    <row r="367" ht="13" customHeight="1"/>
    <row r="368" ht="13" customHeight="1"/>
    <row r="369" ht="13" customHeight="1"/>
    <row r="370" ht="13" customHeight="1"/>
    <row r="371" ht="13" customHeight="1"/>
    <row r="372" ht="13" customHeight="1"/>
    <row r="373" ht="13" customHeight="1"/>
    <row r="374" ht="13" customHeight="1"/>
    <row r="375" ht="13" customHeight="1"/>
    <row r="376" ht="13" customHeight="1"/>
    <row r="377" ht="13" customHeight="1"/>
    <row r="378" ht="13" customHeight="1"/>
    <row r="379" ht="13" customHeight="1"/>
    <row r="380" ht="13" customHeight="1"/>
    <row r="381" ht="13" customHeight="1"/>
    <row r="382" ht="13" customHeight="1"/>
    <row r="383" ht="13" customHeight="1"/>
    <row r="384" ht="13" customHeight="1"/>
    <row r="385" ht="13" customHeight="1"/>
    <row r="386" ht="13" customHeight="1"/>
    <row r="387" ht="13" customHeight="1"/>
    <row r="388" ht="13" customHeight="1"/>
    <row r="389" ht="13" customHeight="1"/>
    <row r="390" ht="13" customHeight="1"/>
    <row r="391" ht="13" customHeight="1"/>
    <row r="392" ht="13" customHeight="1"/>
    <row r="393" ht="13" customHeight="1"/>
    <row r="394" ht="13" customHeight="1"/>
    <row r="395" ht="13" customHeight="1"/>
    <row r="396" ht="13" customHeight="1"/>
    <row r="397" ht="13" customHeight="1"/>
    <row r="398" ht="13" customHeight="1"/>
    <row r="399" ht="13" customHeight="1"/>
    <row r="400" ht="13" customHeight="1"/>
    <row r="401" ht="13" customHeight="1"/>
    <row r="402" ht="13" customHeight="1"/>
    <row r="403" ht="13" customHeight="1"/>
    <row r="404" ht="13" customHeight="1"/>
    <row r="405" ht="13" customHeight="1"/>
    <row r="406" ht="13" customHeight="1"/>
    <row r="407" ht="13" customHeight="1"/>
    <row r="408" ht="13" customHeight="1"/>
    <row r="409" ht="13" customHeight="1"/>
    <row r="410" ht="13" customHeight="1"/>
    <row r="411" ht="13" customHeight="1"/>
    <row r="412" ht="13" customHeight="1"/>
    <row r="413" ht="13" customHeight="1"/>
    <row r="414" ht="13" customHeight="1"/>
    <row r="415" ht="13" customHeight="1"/>
    <row r="416" ht="13" customHeight="1"/>
    <row r="417" ht="13" customHeight="1"/>
    <row r="418" ht="13" customHeight="1"/>
    <row r="419" ht="13" customHeight="1"/>
    <row r="420" ht="13" customHeight="1"/>
    <row r="421" ht="13" customHeight="1"/>
    <row r="422" ht="13" customHeight="1"/>
    <row r="423" ht="13" customHeight="1"/>
    <row r="424" ht="13" customHeight="1"/>
    <row r="425" ht="13" customHeight="1"/>
    <row r="426" ht="13" customHeight="1"/>
    <row r="427" ht="13" customHeight="1"/>
    <row r="428" ht="13" customHeight="1"/>
    <row r="429" ht="13" customHeight="1"/>
    <row r="430" ht="13" customHeight="1"/>
    <row r="431" ht="13" customHeight="1"/>
    <row r="432" ht="13" customHeight="1"/>
    <row r="433" ht="13" customHeight="1"/>
    <row r="434" ht="13" customHeight="1"/>
    <row r="435" ht="13" customHeight="1"/>
    <row r="436" ht="13" customHeight="1"/>
    <row r="437" ht="13" customHeight="1"/>
    <row r="438" ht="13" customHeight="1"/>
    <row r="439" ht="13" customHeight="1"/>
    <row r="440" ht="13" customHeight="1"/>
    <row r="441" ht="13" customHeight="1"/>
    <row r="442" ht="13" customHeight="1"/>
    <row r="443" ht="13" customHeight="1"/>
    <row r="444" ht="13" customHeight="1"/>
    <row r="445" ht="13" customHeight="1"/>
    <row r="446" ht="13" customHeight="1"/>
    <row r="447" ht="13" customHeight="1"/>
    <row r="448" ht="13" customHeight="1"/>
    <row r="449" ht="13" customHeight="1"/>
    <row r="450" ht="13" customHeight="1"/>
    <row r="451" ht="13" customHeight="1"/>
    <row r="452" ht="13" customHeight="1"/>
    <row r="453" ht="13" customHeight="1"/>
    <row r="454" ht="13" customHeight="1"/>
    <row r="455" ht="13" customHeight="1"/>
    <row r="456" ht="13" customHeight="1"/>
    <row r="457" ht="13" customHeight="1"/>
    <row r="458" ht="13" customHeight="1"/>
    <row r="459" ht="13" customHeight="1"/>
    <row r="460" ht="13" customHeight="1"/>
    <row r="461" ht="13" customHeight="1"/>
    <row r="462" ht="13" customHeight="1"/>
    <row r="463" ht="13" customHeight="1"/>
    <row r="464" ht="13" customHeight="1"/>
    <row r="465" ht="13" customHeight="1"/>
    <row r="466" ht="13" customHeight="1"/>
    <row r="467" ht="13" customHeight="1"/>
    <row r="468" ht="13" customHeight="1"/>
    <row r="469" ht="13" customHeight="1"/>
    <row r="470" ht="13" customHeight="1"/>
    <row r="471" ht="13" customHeight="1"/>
    <row r="472" ht="13" customHeight="1"/>
    <row r="473" ht="13" customHeight="1"/>
    <row r="474" ht="13" customHeight="1"/>
    <row r="475" ht="13" customHeight="1"/>
    <row r="476" ht="13" customHeight="1"/>
    <row r="477" ht="13" customHeight="1"/>
    <row r="478" ht="13" customHeight="1"/>
    <row r="479" ht="13" customHeight="1"/>
    <row r="480" ht="13" customHeight="1"/>
    <row r="481" ht="13" customHeight="1"/>
    <row r="482" ht="13" customHeight="1"/>
    <row r="483" ht="13" customHeight="1"/>
    <row r="484" ht="13" customHeight="1"/>
    <row r="485" ht="13" customHeight="1"/>
    <row r="486" ht="13" customHeight="1"/>
    <row r="487" ht="13" customHeight="1"/>
    <row r="488" ht="13" customHeight="1"/>
    <row r="489" ht="13" customHeight="1"/>
    <row r="490" ht="13" customHeight="1"/>
    <row r="491" ht="13" customHeight="1"/>
    <row r="492" ht="13" customHeight="1"/>
    <row r="493" ht="13" customHeight="1"/>
    <row r="494" ht="13" customHeight="1"/>
    <row r="495" ht="13" customHeight="1"/>
    <row r="496" ht="13" customHeight="1"/>
    <row r="497" ht="13" customHeight="1"/>
    <row r="498" ht="13" customHeight="1"/>
    <row r="499" ht="13" customHeight="1"/>
    <row r="500" ht="13" customHeight="1"/>
    <row r="501" ht="13" customHeight="1"/>
    <row r="502" ht="13" customHeight="1"/>
    <row r="503" ht="13" customHeight="1"/>
    <row r="504" ht="13" customHeight="1"/>
    <row r="505" ht="13" customHeight="1"/>
    <row r="506" ht="13" customHeight="1"/>
    <row r="507" ht="13" customHeight="1"/>
    <row r="508" ht="13" customHeight="1"/>
    <row r="509" ht="13" customHeight="1"/>
    <row r="510" ht="13" customHeight="1"/>
    <row r="511" ht="13" customHeight="1"/>
    <row r="512" ht="13" customHeight="1"/>
    <row r="513" ht="13" customHeight="1"/>
    <row r="514" ht="13" customHeight="1"/>
    <row r="515" ht="13" customHeight="1"/>
    <row r="516" ht="13" customHeight="1"/>
    <row r="517" ht="13" customHeight="1"/>
    <row r="518" ht="13" customHeight="1"/>
    <row r="519" ht="13" customHeight="1"/>
    <row r="520" ht="13" customHeight="1"/>
    <row r="521" ht="13" customHeight="1"/>
    <row r="522" ht="13" customHeight="1"/>
    <row r="523" ht="13" customHeight="1"/>
    <row r="524" ht="13" customHeight="1"/>
    <row r="525" ht="13" customHeight="1"/>
    <row r="526" ht="13" customHeight="1"/>
    <row r="527" ht="13" customHeight="1"/>
    <row r="528" ht="13" customHeight="1"/>
    <row r="529" ht="13" customHeight="1"/>
    <row r="530" ht="13" customHeight="1"/>
    <row r="531" ht="13" customHeight="1"/>
    <row r="532" ht="13" customHeight="1"/>
    <row r="533" ht="13" customHeight="1"/>
    <row r="534" ht="13" customHeight="1"/>
    <row r="535" ht="13" customHeight="1"/>
    <row r="536" ht="13" customHeight="1"/>
    <row r="537" ht="13" customHeight="1"/>
    <row r="538" ht="13" customHeight="1"/>
    <row r="539" ht="13" customHeight="1"/>
    <row r="540" ht="13" customHeight="1"/>
    <row r="541" ht="13" customHeight="1"/>
    <row r="542" ht="13" customHeight="1"/>
    <row r="543" ht="13" customHeight="1"/>
    <row r="544" ht="13" customHeight="1"/>
    <row r="545" ht="13" customHeight="1"/>
    <row r="546" ht="13" customHeight="1"/>
    <row r="547" ht="13" customHeight="1"/>
    <row r="548" ht="13" customHeight="1"/>
    <row r="549" ht="13" customHeight="1"/>
    <row r="550" ht="13" customHeight="1"/>
    <row r="551" ht="13" customHeight="1"/>
    <row r="552" ht="13" customHeight="1"/>
    <row r="553" ht="13" customHeight="1"/>
    <row r="554" ht="13" customHeight="1"/>
    <row r="555" ht="13" customHeight="1"/>
    <row r="556" ht="13" customHeight="1"/>
    <row r="557" ht="13" customHeight="1"/>
    <row r="558" ht="13" customHeight="1"/>
    <row r="559" ht="13" customHeight="1"/>
    <row r="560" ht="13" customHeight="1"/>
    <row r="561" ht="13" customHeight="1"/>
    <row r="562" ht="13" customHeight="1"/>
    <row r="563" ht="13" customHeight="1"/>
    <row r="564" ht="13" customHeight="1"/>
    <row r="565" ht="13" customHeight="1"/>
    <row r="566" ht="13" customHeight="1"/>
    <row r="567" ht="13" customHeight="1"/>
    <row r="568" ht="13" customHeight="1"/>
    <row r="569" ht="13" customHeight="1"/>
    <row r="570" ht="13" customHeight="1"/>
    <row r="571" ht="13" customHeight="1"/>
    <row r="572" ht="13" customHeight="1"/>
    <row r="573" ht="13" customHeight="1"/>
    <row r="574" ht="13" customHeight="1"/>
    <row r="575" ht="13" customHeight="1"/>
    <row r="576" ht="13" customHeight="1"/>
    <row r="577" ht="13" customHeight="1"/>
    <row r="578" ht="13" customHeight="1"/>
    <row r="579" ht="13" customHeight="1"/>
    <row r="580" ht="13" customHeight="1"/>
    <row r="581" ht="13" customHeight="1"/>
    <row r="582" ht="13" customHeight="1"/>
    <row r="583" ht="13" customHeight="1"/>
    <row r="584" ht="13" customHeight="1"/>
    <row r="585" ht="13" customHeight="1"/>
  </sheetData>
  <mergeCells count="68">
    <mergeCell ref="B20:C20"/>
    <mergeCell ref="A1:K1"/>
    <mergeCell ref="B3:C3"/>
    <mergeCell ref="B14:C14"/>
    <mergeCell ref="B16:C16"/>
    <mergeCell ref="B18:C18"/>
    <mergeCell ref="B44:C44"/>
    <mergeCell ref="B37:C37"/>
    <mergeCell ref="B38:C38"/>
    <mergeCell ref="B25:C25"/>
    <mergeCell ref="B26:C26"/>
    <mergeCell ref="B27:C27"/>
    <mergeCell ref="B30:C30"/>
    <mergeCell ref="B34:C34"/>
    <mergeCell ref="B35:C35"/>
    <mergeCell ref="B39:C39"/>
    <mergeCell ref="B57:C57"/>
    <mergeCell ref="B50:C50"/>
    <mergeCell ref="B51:C51"/>
    <mergeCell ref="B64:C64"/>
    <mergeCell ref="D64:J64"/>
    <mergeCell ref="E52:G52"/>
    <mergeCell ref="H52:J52"/>
    <mergeCell ref="B58:C58"/>
    <mergeCell ref="B59:C59"/>
    <mergeCell ref="B53:C53"/>
    <mergeCell ref="B54:C54"/>
    <mergeCell ref="B45:C45"/>
    <mergeCell ref="B46:C46"/>
    <mergeCell ref="B47:C47"/>
    <mergeCell ref="B49:C49"/>
    <mergeCell ref="B55:C55"/>
    <mergeCell ref="B65:C65"/>
    <mergeCell ref="D65:J65"/>
    <mergeCell ref="B72:C72"/>
    <mergeCell ref="D72:J72"/>
    <mergeCell ref="B69:C69"/>
    <mergeCell ref="D69:J69"/>
    <mergeCell ref="B66:C66"/>
    <mergeCell ref="D66:J66"/>
    <mergeCell ref="B74:C74"/>
    <mergeCell ref="D74:J74"/>
    <mergeCell ref="B67:C67"/>
    <mergeCell ref="D67:J67"/>
    <mergeCell ref="B68:C68"/>
    <mergeCell ref="D68:J68"/>
    <mergeCell ref="B70:C70"/>
    <mergeCell ref="D70:J70"/>
    <mergeCell ref="B71:C71"/>
    <mergeCell ref="D71:J71"/>
    <mergeCell ref="B73:C73"/>
    <mergeCell ref="D73:J73"/>
    <mergeCell ref="B97:C97"/>
    <mergeCell ref="A98:D98"/>
    <mergeCell ref="E78:G78"/>
    <mergeCell ref="H78:J78"/>
    <mergeCell ref="B79:C79"/>
    <mergeCell ref="B80:C80"/>
    <mergeCell ref="B81:C81"/>
    <mergeCell ref="B82:C82"/>
    <mergeCell ref="B94:C94"/>
    <mergeCell ref="B96:C96"/>
    <mergeCell ref="B91:C91"/>
    <mergeCell ref="B93:C93"/>
    <mergeCell ref="B83:C83"/>
    <mergeCell ref="B88:C88"/>
    <mergeCell ref="B89:C89"/>
    <mergeCell ref="B90:C90"/>
  </mergeCells>
  <printOptions/>
  <pageMargins left="0.7875" right="0.39375" top="0.33333333333333337" bottom="0.39375000000000004" header="0.11805555555555557" footer="0.11805555555555557"/>
  <pageSetup horizontalDpi="300" verticalDpi="300" orientation="portrait" paperSize="9" scale="80"/>
  <headerFooter alignWithMargins="0">
    <oddFooter>&amp;LArial CE,kurzíva\&amp;12List č.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Vladimir Pavlik</cp:lastModifiedBy>
  <cp:lastPrinted>2015-08-19T05:03:41Z</cp:lastPrinted>
  <dcterms:created xsi:type="dcterms:W3CDTF">2009-06-04T13:50:58Z</dcterms:created>
  <dcterms:modified xsi:type="dcterms:W3CDTF">2016-08-25T13:30:22Z</dcterms:modified>
  <cp:category/>
  <cp:version/>
  <cp:contentType/>
  <cp:contentStatus/>
</cp:coreProperties>
</file>